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5480" windowHeight="11640" activeTab="3"/>
  </bookViews>
  <sheets>
    <sheet name="Raw Data" sheetId="1" r:id="rId1"/>
    <sheet name="Mirror" sheetId="2" r:id="rId2"/>
    <sheet name="Team summaries" sheetId="3" r:id="rId3"/>
    <sheet name="AverageRanking" sheetId="4" r:id="rId4"/>
    <sheet name="Averages" sheetId="5" r:id="rId5"/>
    <sheet name="Picks" sheetId="6" r:id="rId6"/>
  </sheets>
  <definedNames>
    <definedName name="_xlnm._FilterDatabase" localSheetId="0" hidden="1">'Raw Data'!$A$3:$P$375</definedName>
    <definedName name="_xlnm._FilterDatabase" localSheetId="2" hidden="1">'Team summaries'!$A$1:$L$83</definedName>
    <definedName name="CRITERIA" localSheetId="4">'Averages'!$L$3:$L$109</definedName>
    <definedName name="CRITERIA" localSheetId="1">'Mirror'!$AC$5:$AD$6</definedName>
    <definedName name="EXTRACT" localSheetId="1">'Mirror'!$D$5:$V$5</definedName>
  </definedNames>
  <calcPr fullCalcOnLoad="1"/>
</workbook>
</file>

<file path=xl/sharedStrings.xml><?xml version="1.0" encoding="utf-8"?>
<sst xmlns="http://schemas.openxmlformats.org/spreadsheetml/2006/main" count="364" uniqueCount="51">
  <si>
    <t>x</t>
  </si>
  <si>
    <t>Match #</t>
  </si>
  <si>
    <t>Team #</t>
  </si>
  <si>
    <t>Team</t>
  </si>
  <si>
    <t>Autonomous</t>
  </si>
  <si>
    <t>Kicked</t>
  </si>
  <si>
    <t>Zoned</t>
  </si>
  <si>
    <t>Scored</t>
  </si>
  <si>
    <t>Tele-op</t>
  </si>
  <si>
    <t>Tips</t>
  </si>
  <si>
    <t>Recoveries</t>
  </si>
  <si>
    <t>Finish</t>
  </si>
  <si>
    <t>Penalties</t>
  </si>
  <si>
    <t>Red</t>
  </si>
  <si>
    <t>Blue</t>
  </si>
  <si>
    <t>Card</t>
  </si>
  <si>
    <t>Red</t>
  </si>
  <si>
    <t>Blue</t>
  </si>
  <si>
    <t>Dead</t>
  </si>
  <si>
    <t>Bonus</t>
  </si>
  <si>
    <t>Raw Data'!#REF!</t>
  </si>
  <si>
    <t>Total score</t>
  </si>
  <si>
    <t>Balls zoned</t>
  </si>
  <si>
    <t>Average score</t>
  </si>
  <si>
    <t>Max Score</t>
  </si>
  <si>
    <t>Min Score</t>
  </si>
  <si>
    <t>Average Zoned</t>
  </si>
  <si>
    <t>Max Zoned</t>
  </si>
  <si>
    <t>Min Zoned</t>
  </si>
  <si>
    <t>Carded</t>
  </si>
  <si>
    <t>dead</t>
  </si>
  <si>
    <t>tips</t>
  </si>
  <si>
    <t>recoveries</t>
  </si>
  <si>
    <t>Start</t>
  </si>
  <si>
    <t>def</t>
  </si>
  <si>
    <t>KickedT</t>
  </si>
  <si>
    <t>ScoredT</t>
  </si>
  <si>
    <t>ZonedT</t>
  </si>
  <si>
    <t>Avr Zoned</t>
  </si>
  <si>
    <t>Avr score</t>
  </si>
  <si>
    <t>off</t>
  </si>
  <si>
    <t>mid</t>
  </si>
  <si>
    <t>Good(AAF)</t>
  </si>
  <si>
    <t>Val</t>
  </si>
  <si>
    <t>Team list</t>
  </si>
  <si>
    <t>Good</t>
  </si>
  <si>
    <t>card</t>
  </si>
  <si>
    <t>average row</t>
  </si>
  <si>
    <t>team</t>
  </si>
  <si>
    <t>average of averages</t>
  </si>
  <si>
    <t>good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</si>
</sst>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5">
    <font>
      <sz val="11"/>
      <color indexed="8"/>
      <name val="Calibri"/>
      <family val="2"/>
    </font>
    <font>
      <sz val="8"/>
      <name val="Verdana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22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22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 quotePrefix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games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72475"/>
          <c:h val="0.7265"/>
        </c:manualLayout>
      </c:layout>
      <c:lineChart>
        <c:grouping val="standard"/>
        <c:varyColors val="0"/>
        <c:ser>
          <c:idx val="13"/>
          <c:order val="0"/>
          <c:tx>
            <c:strRef>
              <c:f>Mirror!$U$6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Mirror!$D$7:$G$13</c:f>
              <c:multiLvlStrCache/>
            </c:multiLvlStrRef>
          </c:cat>
          <c:val>
            <c:numRef>
              <c:f>Mirror!$U$6:$U$12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Mirror!$V$6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Mirror!$D$7:$G$13</c:f>
              <c:multiLvlStrCache/>
            </c:multiLvlStrRef>
          </c:cat>
          <c:val>
            <c:numRef>
              <c:f>Mirror!$V$6:$V$12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info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0</xdr:rowOff>
    </xdr:from>
    <xdr:to>
      <xdr:col>12</xdr:col>
      <xdr:colOff>19050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62150" y="2886075"/>
        <a:ext cx="5791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87"/>
  <sheetViews>
    <sheetView zoomScalePageLayoutView="0" workbookViewId="0" topLeftCell="B1">
      <pane ySplit="3" topLeftCell="BM4" activePane="bottomLeft" state="frozen"/>
      <selection pane="topLeft" activeCell="A1" sqref="A1"/>
      <selection pane="bottomLeft" activeCell="B5" sqref="B5"/>
    </sheetView>
  </sheetViews>
  <sheetFormatPr defaultColWidth="8.8515625" defaultRowHeight="15"/>
  <cols>
    <col min="1" max="1" width="8.8515625" style="9" customWidth="1"/>
    <col min="2" max="3" width="8.8515625" style="3" customWidth="1"/>
    <col min="4" max="4" width="7.421875" style="3" customWidth="1"/>
    <col min="5" max="5" width="7.00390625" style="3" customWidth="1"/>
    <col min="6" max="6" width="8.8515625" style="10" customWidth="1"/>
    <col min="7" max="7" width="6.421875" style="10" customWidth="1"/>
    <col min="8" max="10" width="8.8515625" style="4" customWidth="1"/>
    <col min="11" max="13" width="8.8515625" style="5" customWidth="1"/>
    <col min="14" max="15" width="8.8515625" style="1" customWidth="1"/>
    <col min="16" max="16" width="8.8515625" style="2" customWidth="1"/>
    <col min="17" max="17" width="8.8515625" style="6" customWidth="1"/>
  </cols>
  <sheetData>
    <row r="1" spans="1:17" ht="15">
      <c r="A1" s="14"/>
      <c r="B1" s="15"/>
      <c r="C1" s="15"/>
      <c r="D1" s="15"/>
      <c r="E1" s="15"/>
      <c r="F1" s="16"/>
      <c r="G1" s="23"/>
      <c r="H1" s="41" t="s">
        <v>4</v>
      </c>
      <c r="I1" s="41"/>
      <c r="J1" s="42"/>
      <c r="K1" s="44" t="s">
        <v>8</v>
      </c>
      <c r="L1" s="44"/>
      <c r="M1" s="44"/>
      <c r="N1" s="44"/>
      <c r="O1" s="44"/>
      <c r="P1" s="44"/>
      <c r="Q1"/>
    </row>
    <row r="2" spans="1:17" ht="15">
      <c r="A2" s="14"/>
      <c r="B2" s="15"/>
      <c r="C2" s="15"/>
      <c r="D2" s="15"/>
      <c r="E2" s="15"/>
      <c r="F2" s="16"/>
      <c r="G2" s="24"/>
      <c r="H2" s="19"/>
      <c r="I2" s="19"/>
      <c r="J2" s="19"/>
      <c r="K2" s="20"/>
      <c r="L2" s="20"/>
      <c r="M2" s="20"/>
      <c r="N2" s="43"/>
      <c r="O2" s="43"/>
      <c r="P2" s="26" t="s">
        <v>11</v>
      </c>
      <c r="Q2" s="17"/>
    </row>
    <row r="3" spans="1:19" ht="15.75" thickBot="1">
      <c r="A3" s="11" t="s">
        <v>1</v>
      </c>
      <c r="B3" s="12" t="s">
        <v>2</v>
      </c>
      <c r="C3" s="12" t="s">
        <v>43</v>
      </c>
      <c r="D3" s="12" t="s">
        <v>3</v>
      </c>
      <c r="E3" s="31" t="s">
        <v>33</v>
      </c>
      <c r="F3" s="13" t="s">
        <v>15</v>
      </c>
      <c r="G3" s="25" t="s">
        <v>18</v>
      </c>
      <c r="H3" s="21" t="s">
        <v>5</v>
      </c>
      <c r="I3" s="21" t="s">
        <v>6</v>
      </c>
      <c r="J3" s="21" t="s">
        <v>7</v>
      </c>
      <c r="K3" s="22" t="s">
        <v>35</v>
      </c>
      <c r="L3" s="22" t="s">
        <v>36</v>
      </c>
      <c r="M3" s="22" t="s">
        <v>37</v>
      </c>
      <c r="N3" s="7" t="s">
        <v>9</v>
      </c>
      <c r="O3" s="7" t="s">
        <v>10</v>
      </c>
      <c r="P3" s="8" t="s">
        <v>19</v>
      </c>
      <c r="Q3" s="18" t="s">
        <v>12</v>
      </c>
      <c r="R3" s="29" t="s">
        <v>21</v>
      </c>
      <c r="S3" s="29" t="s">
        <v>22</v>
      </c>
    </row>
    <row r="4" spans="1:19" ht="15">
      <c r="A4" s="9">
        <v>1</v>
      </c>
      <c r="B4" s="3">
        <v>2603</v>
      </c>
      <c r="C4" s="3">
        <v>1</v>
      </c>
      <c r="D4" s="3" t="s">
        <v>16</v>
      </c>
      <c r="F4" s="10">
        <v>0</v>
      </c>
      <c r="H4" s="4">
        <v>0</v>
      </c>
      <c r="I4" s="4">
        <v>0</v>
      </c>
      <c r="J4" s="4">
        <v>0</v>
      </c>
      <c r="K4" s="5">
        <v>0</v>
      </c>
      <c r="L4" s="5">
        <v>0</v>
      </c>
      <c r="M4" s="5">
        <v>0</v>
      </c>
      <c r="Q4" s="6">
        <v>2</v>
      </c>
      <c r="R4">
        <f aca="true" t="shared" si="0" ref="R4:R34">J4+L4+P4-Q4</f>
        <v>-2</v>
      </c>
      <c r="S4">
        <f aca="true" t="shared" si="1" ref="S4:S67">I4+M4</f>
        <v>0</v>
      </c>
    </row>
    <row r="5" spans="1:19" ht="15">
      <c r="A5" s="9">
        <v>1</v>
      </c>
      <c r="B5" s="3">
        <v>128</v>
      </c>
      <c r="C5" s="3">
        <v>1</v>
      </c>
      <c r="D5" s="3" t="s">
        <v>16</v>
      </c>
      <c r="E5" s="3" t="s">
        <v>34</v>
      </c>
      <c r="F5" s="10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Q5" s="6">
        <v>0</v>
      </c>
      <c r="R5">
        <f t="shared" si="0"/>
        <v>0</v>
      </c>
      <c r="S5">
        <f t="shared" si="1"/>
        <v>0</v>
      </c>
    </row>
    <row r="6" spans="1:19" ht="15">
      <c r="A6" s="9">
        <v>1</v>
      </c>
      <c r="B6" s="3">
        <v>2252</v>
      </c>
      <c r="C6" s="3">
        <v>1</v>
      </c>
      <c r="D6" s="3" t="s">
        <v>16</v>
      </c>
      <c r="F6" s="10">
        <v>0</v>
      </c>
      <c r="H6" s="4">
        <v>0</v>
      </c>
      <c r="I6" s="4">
        <v>0</v>
      </c>
      <c r="J6" s="4">
        <v>0</v>
      </c>
      <c r="K6" s="5">
        <v>3</v>
      </c>
      <c r="L6" s="5">
        <v>0</v>
      </c>
      <c r="M6" s="5">
        <v>0</v>
      </c>
      <c r="Q6" s="6">
        <v>0</v>
      </c>
      <c r="R6">
        <f t="shared" si="0"/>
        <v>0</v>
      </c>
      <c r="S6">
        <f t="shared" si="1"/>
        <v>0</v>
      </c>
    </row>
    <row r="7" spans="1:19" ht="15">
      <c r="A7" s="9">
        <v>1</v>
      </c>
      <c r="B7" s="3">
        <v>2279</v>
      </c>
      <c r="C7" s="3">
        <v>1</v>
      </c>
      <c r="D7" s="3" t="s">
        <v>17</v>
      </c>
      <c r="F7" s="10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Q7" s="6">
        <v>0</v>
      </c>
      <c r="R7">
        <f t="shared" si="0"/>
        <v>0</v>
      </c>
      <c r="S7">
        <f t="shared" si="1"/>
        <v>0</v>
      </c>
    </row>
    <row r="8" spans="1:19" ht="15">
      <c r="A8" s="9">
        <v>1</v>
      </c>
      <c r="B8" s="3">
        <v>2</v>
      </c>
      <c r="C8" s="3">
        <v>1</v>
      </c>
      <c r="D8" s="3" t="s">
        <v>17</v>
      </c>
      <c r="F8" s="10">
        <v>0</v>
      </c>
      <c r="H8" s="4">
        <v>3</v>
      </c>
      <c r="I8" s="4">
        <v>3</v>
      </c>
      <c r="J8" s="4">
        <v>0</v>
      </c>
      <c r="K8" s="5">
        <v>1</v>
      </c>
      <c r="L8" s="5">
        <v>1</v>
      </c>
      <c r="M8" s="5">
        <v>3</v>
      </c>
      <c r="Q8" s="6">
        <v>0</v>
      </c>
      <c r="R8">
        <f t="shared" si="0"/>
        <v>1</v>
      </c>
      <c r="S8">
        <f t="shared" si="1"/>
        <v>6</v>
      </c>
    </row>
    <row r="9" spans="1:19" ht="15">
      <c r="A9" s="9">
        <v>1</v>
      </c>
      <c r="B9" s="3">
        <v>2809</v>
      </c>
      <c r="C9" s="3">
        <v>1</v>
      </c>
      <c r="D9" s="3" t="s">
        <v>17</v>
      </c>
      <c r="E9" s="3" t="s">
        <v>40</v>
      </c>
      <c r="F9" s="10">
        <v>0</v>
      </c>
      <c r="H9" s="4">
        <v>0</v>
      </c>
      <c r="I9" s="4">
        <v>0</v>
      </c>
      <c r="J9" s="4">
        <v>0</v>
      </c>
      <c r="K9" s="5">
        <v>1</v>
      </c>
      <c r="L9" s="5">
        <v>2</v>
      </c>
      <c r="M9" s="5">
        <v>0</v>
      </c>
      <c r="Q9" s="6">
        <v>0</v>
      </c>
      <c r="R9">
        <f t="shared" si="0"/>
        <v>2</v>
      </c>
      <c r="S9">
        <f t="shared" si="1"/>
        <v>0</v>
      </c>
    </row>
    <row r="10" spans="1:19" ht="15">
      <c r="A10" s="9">
        <v>2</v>
      </c>
      <c r="B10" s="3">
        <v>2051</v>
      </c>
      <c r="C10" s="3">
        <v>1</v>
      </c>
      <c r="D10" s="3" t="s">
        <v>16</v>
      </c>
      <c r="F10" s="10">
        <v>0</v>
      </c>
      <c r="H10" s="4">
        <v>0</v>
      </c>
      <c r="I10" s="4">
        <v>0</v>
      </c>
      <c r="J10" s="4">
        <v>0</v>
      </c>
      <c r="K10" s="5">
        <v>3</v>
      </c>
      <c r="L10" s="5">
        <v>2</v>
      </c>
      <c r="M10" s="5">
        <v>0</v>
      </c>
      <c r="Q10" s="6">
        <v>0</v>
      </c>
      <c r="R10">
        <f t="shared" si="0"/>
        <v>2</v>
      </c>
      <c r="S10">
        <f t="shared" si="1"/>
        <v>0</v>
      </c>
    </row>
    <row r="11" spans="1:19" ht="15">
      <c r="A11" s="9">
        <v>2</v>
      </c>
      <c r="B11" s="3">
        <v>2641</v>
      </c>
      <c r="C11" s="3">
        <v>1</v>
      </c>
      <c r="D11" s="3" t="s">
        <v>16</v>
      </c>
      <c r="F11" s="10">
        <v>0</v>
      </c>
      <c r="G11" s="10">
        <v>1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Q11" s="6">
        <v>0</v>
      </c>
      <c r="R11">
        <f t="shared" si="0"/>
        <v>0</v>
      </c>
      <c r="S11">
        <f t="shared" si="1"/>
        <v>0</v>
      </c>
    </row>
    <row r="12" spans="1:19" ht="15">
      <c r="A12" s="9">
        <v>2</v>
      </c>
      <c r="B12" s="3">
        <v>433</v>
      </c>
      <c r="C12" s="3">
        <v>1</v>
      </c>
      <c r="D12" s="3" t="s">
        <v>16</v>
      </c>
      <c r="F12" s="10">
        <v>0</v>
      </c>
      <c r="H12" s="4">
        <v>0</v>
      </c>
      <c r="I12" s="4">
        <v>0</v>
      </c>
      <c r="J12" s="4">
        <v>0</v>
      </c>
      <c r="K12" s="5">
        <v>1</v>
      </c>
      <c r="L12" s="5">
        <v>1</v>
      </c>
      <c r="M12" s="5">
        <v>0</v>
      </c>
      <c r="Q12" s="6">
        <v>0</v>
      </c>
      <c r="R12">
        <f t="shared" si="0"/>
        <v>1</v>
      </c>
      <c r="S12">
        <f t="shared" si="1"/>
        <v>0</v>
      </c>
    </row>
    <row r="13" spans="1:19" ht="15">
      <c r="A13" s="9">
        <v>2</v>
      </c>
      <c r="B13" s="3">
        <v>3260</v>
      </c>
      <c r="C13" s="3">
        <v>1</v>
      </c>
      <c r="D13" s="3" t="s">
        <v>17</v>
      </c>
      <c r="F13" s="10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Q13" s="6">
        <v>0</v>
      </c>
      <c r="R13">
        <f t="shared" si="0"/>
        <v>0</v>
      </c>
      <c r="S13">
        <f t="shared" si="1"/>
        <v>0</v>
      </c>
    </row>
    <row r="14" spans="1:19" ht="15">
      <c r="A14" s="9">
        <v>2</v>
      </c>
      <c r="B14" s="3">
        <v>451</v>
      </c>
      <c r="C14" s="3">
        <v>1</v>
      </c>
      <c r="D14" s="3" t="s">
        <v>17</v>
      </c>
      <c r="F14" s="10">
        <v>0</v>
      </c>
      <c r="H14" s="4">
        <v>1</v>
      </c>
      <c r="I14" s="4">
        <v>0</v>
      </c>
      <c r="J14" s="4">
        <v>0</v>
      </c>
      <c r="K14" s="5">
        <v>4</v>
      </c>
      <c r="L14" s="5">
        <v>3</v>
      </c>
      <c r="M14" s="5">
        <v>0</v>
      </c>
      <c r="Q14" s="6">
        <v>0</v>
      </c>
      <c r="R14">
        <f t="shared" si="0"/>
        <v>3</v>
      </c>
      <c r="S14">
        <f t="shared" si="1"/>
        <v>0</v>
      </c>
    </row>
    <row r="15" spans="1:19" ht="15">
      <c r="A15" s="9">
        <v>2</v>
      </c>
      <c r="B15" s="3">
        <v>337</v>
      </c>
      <c r="C15" s="3">
        <v>1</v>
      </c>
      <c r="D15" s="3" t="s">
        <v>17</v>
      </c>
      <c r="F15" s="10">
        <v>0</v>
      </c>
      <c r="H15" s="4">
        <v>1</v>
      </c>
      <c r="I15" s="4">
        <v>0</v>
      </c>
      <c r="J15" s="4">
        <v>0</v>
      </c>
      <c r="K15" s="5">
        <v>3</v>
      </c>
      <c r="L15" s="5">
        <v>1</v>
      </c>
      <c r="M15" s="5">
        <v>0</v>
      </c>
      <c r="Q15" s="6">
        <v>0</v>
      </c>
      <c r="R15">
        <f t="shared" si="0"/>
        <v>1</v>
      </c>
      <c r="S15">
        <f t="shared" si="1"/>
        <v>0</v>
      </c>
    </row>
    <row r="16" spans="1:19" ht="15">
      <c r="A16" s="9">
        <f>A10+1</f>
        <v>3</v>
      </c>
      <c r="B16" s="3">
        <v>1317</v>
      </c>
      <c r="C16" s="3">
        <v>1</v>
      </c>
      <c r="D16" s="3" t="s">
        <v>16</v>
      </c>
      <c r="F16" s="10">
        <v>0</v>
      </c>
      <c r="G16" s="10">
        <v>1</v>
      </c>
      <c r="H16" s="4">
        <v>0</v>
      </c>
      <c r="I16" s="4">
        <v>0</v>
      </c>
      <c r="J16" s="4">
        <v>0</v>
      </c>
      <c r="K16" s="5">
        <v>1</v>
      </c>
      <c r="L16" s="5">
        <v>1</v>
      </c>
      <c r="M16" s="5">
        <v>0</v>
      </c>
      <c r="Q16" s="6">
        <v>0</v>
      </c>
      <c r="R16">
        <f t="shared" si="0"/>
        <v>1</v>
      </c>
      <c r="S16">
        <f t="shared" si="1"/>
        <v>0</v>
      </c>
    </row>
    <row r="17" spans="1:19" ht="15">
      <c r="A17" s="9">
        <f>A11+1</f>
        <v>3</v>
      </c>
      <c r="B17" s="3">
        <v>1708</v>
      </c>
      <c r="C17" s="3">
        <v>1</v>
      </c>
      <c r="D17" s="3" t="s">
        <v>16</v>
      </c>
      <c r="F17" s="10">
        <v>0</v>
      </c>
      <c r="H17" s="4">
        <v>0</v>
      </c>
      <c r="I17" s="4">
        <v>0</v>
      </c>
      <c r="J17" s="4">
        <v>0</v>
      </c>
      <c r="K17" s="5">
        <v>3</v>
      </c>
      <c r="L17" s="5">
        <v>0</v>
      </c>
      <c r="M17" s="5">
        <v>0</v>
      </c>
      <c r="Q17" s="6">
        <v>0</v>
      </c>
      <c r="R17">
        <f t="shared" si="0"/>
        <v>0</v>
      </c>
      <c r="S17">
        <f t="shared" si="1"/>
        <v>0</v>
      </c>
    </row>
    <row r="18" spans="1:19" ht="15">
      <c r="A18" s="9">
        <f aca="true" t="shared" si="2" ref="A18:A34">A12+1</f>
        <v>3</v>
      </c>
      <c r="B18" s="3">
        <v>117</v>
      </c>
      <c r="C18" s="3">
        <v>1</v>
      </c>
      <c r="D18" s="3" t="s">
        <v>16</v>
      </c>
      <c r="F18" s="10">
        <v>2</v>
      </c>
      <c r="H18" s="4">
        <v>0</v>
      </c>
      <c r="I18" s="4">
        <v>0</v>
      </c>
      <c r="J18" s="4">
        <v>0</v>
      </c>
      <c r="K18" s="5">
        <v>0</v>
      </c>
      <c r="L18" s="5">
        <v>0</v>
      </c>
      <c r="M18" s="5">
        <v>0</v>
      </c>
      <c r="Q18" s="6">
        <v>0</v>
      </c>
      <c r="R18">
        <f t="shared" si="0"/>
        <v>0</v>
      </c>
      <c r="S18">
        <f t="shared" si="1"/>
        <v>0</v>
      </c>
    </row>
    <row r="19" spans="1:19" ht="15">
      <c r="A19" s="9">
        <f t="shared" si="2"/>
        <v>3</v>
      </c>
      <c r="B19" s="3">
        <v>3138</v>
      </c>
      <c r="C19" s="3">
        <v>1</v>
      </c>
      <c r="D19" s="3" t="s">
        <v>17</v>
      </c>
      <c r="F19" s="10">
        <v>0</v>
      </c>
      <c r="H19" s="4">
        <v>0</v>
      </c>
      <c r="I19" s="4">
        <v>0</v>
      </c>
      <c r="J19" s="4">
        <v>0</v>
      </c>
      <c r="K19" s="5">
        <v>3</v>
      </c>
      <c r="L19" s="5">
        <v>1</v>
      </c>
      <c r="M19" s="5">
        <v>0</v>
      </c>
      <c r="Q19" s="6">
        <v>0</v>
      </c>
      <c r="R19">
        <f t="shared" si="0"/>
        <v>1</v>
      </c>
      <c r="S19">
        <f t="shared" si="1"/>
        <v>0</v>
      </c>
    </row>
    <row r="20" spans="1:19" ht="15">
      <c r="A20" s="9">
        <f t="shared" si="2"/>
        <v>3</v>
      </c>
      <c r="B20" s="3">
        <v>2544</v>
      </c>
      <c r="C20" s="3">
        <v>1</v>
      </c>
      <c r="D20" s="3" t="s">
        <v>17</v>
      </c>
      <c r="F20" s="10">
        <v>0</v>
      </c>
      <c r="H20" s="4">
        <v>0</v>
      </c>
      <c r="I20" s="4">
        <v>0</v>
      </c>
      <c r="J20" s="4">
        <v>0</v>
      </c>
      <c r="K20" s="5">
        <v>0</v>
      </c>
      <c r="L20" s="5">
        <v>0</v>
      </c>
      <c r="M20" s="5">
        <v>0</v>
      </c>
      <c r="N20" s="1">
        <v>1</v>
      </c>
      <c r="Q20" s="6">
        <v>0</v>
      </c>
      <c r="R20">
        <f t="shared" si="0"/>
        <v>0</v>
      </c>
      <c r="S20">
        <f t="shared" si="1"/>
        <v>0</v>
      </c>
    </row>
    <row r="21" spans="1:19" ht="15">
      <c r="A21" s="9">
        <f t="shared" si="2"/>
        <v>3</v>
      </c>
      <c r="B21" s="3">
        <v>1743</v>
      </c>
      <c r="C21" s="3">
        <v>1</v>
      </c>
      <c r="D21" s="3" t="s">
        <v>17</v>
      </c>
      <c r="F21" s="10">
        <v>0</v>
      </c>
      <c r="H21" s="4">
        <v>0</v>
      </c>
      <c r="I21" s="4">
        <v>0</v>
      </c>
      <c r="J21" s="4">
        <v>0</v>
      </c>
      <c r="K21" s="5">
        <v>0</v>
      </c>
      <c r="L21" s="5">
        <v>0</v>
      </c>
      <c r="M21" s="5">
        <v>0</v>
      </c>
      <c r="Q21" s="6">
        <v>0</v>
      </c>
      <c r="R21">
        <f t="shared" si="0"/>
        <v>0</v>
      </c>
      <c r="S21">
        <f t="shared" si="1"/>
        <v>0</v>
      </c>
    </row>
    <row r="22" spans="1:19" ht="15">
      <c r="A22" s="9">
        <f t="shared" si="2"/>
        <v>4</v>
      </c>
      <c r="B22" s="3">
        <v>222</v>
      </c>
      <c r="C22" s="3">
        <v>1</v>
      </c>
      <c r="D22" s="3" t="s">
        <v>16</v>
      </c>
      <c r="F22" s="10">
        <v>0</v>
      </c>
      <c r="H22" s="4">
        <v>2</v>
      </c>
      <c r="I22" s="4">
        <v>2</v>
      </c>
      <c r="J22" s="4">
        <v>1</v>
      </c>
      <c r="K22" s="5">
        <v>4</v>
      </c>
      <c r="L22" s="5">
        <v>0</v>
      </c>
      <c r="M22" s="5">
        <v>2</v>
      </c>
      <c r="O22" s="1">
        <v>1</v>
      </c>
      <c r="Q22" s="6">
        <v>0</v>
      </c>
      <c r="R22">
        <f t="shared" si="0"/>
        <v>1</v>
      </c>
      <c r="S22">
        <f t="shared" si="1"/>
        <v>4</v>
      </c>
    </row>
    <row r="23" spans="1:19" ht="15">
      <c r="A23" s="9">
        <f t="shared" si="2"/>
        <v>4</v>
      </c>
      <c r="B23" s="3">
        <v>1038</v>
      </c>
      <c r="C23" s="3">
        <v>1</v>
      </c>
      <c r="D23" s="3" t="s">
        <v>16</v>
      </c>
      <c r="F23" s="10">
        <v>0</v>
      </c>
      <c r="H23" s="4">
        <v>0</v>
      </c>
      <c r="I23" s="4">
        <v>0</v>
      </c>
      <c r="J23" s="4">
        <v>0</v>
      </c>
      <c r="K23" s="5">
        <v>5</v>
      </c>
      <c r="L23" s="5">
        <v>2</v>
      </c>
      <c r="M23" s="5">
        <v>2</v>
      </c>
      <c r="Q23" s="6">
        <v>0</v>
      </c>
      <c r="R23">
        <f t="shared" si="0"/>
        <v>2</v>
      </c>
      <c r="S23">
        <f t="shared" si="1"/>
        <v>2</v>
      </c>
    </row>
    <row r="24" spans="1:19" ht="15">
      <c r="A24" s="9">
        <f t="shared" si="2"/>
        <v>4</v>
      </c>
      <c r="B24" s="3">
        <v>306</v>
      </c>
      <c r="C24" s="3">
        <v>1</v>
      </c>
      <c r="D24" s="3" t="s">
        <v>16</v>
      </c>
      <c r="F24" s="10">
        <v>0</v>
      </c>
      <c r="H24" s="4">
        <v>0</v>
      </c>
      <c r="I24" s="4">
        <v>0</v>
      </c>
      <c r="J24" s="4">
        <v>0</v>
      </c>
      <c r="K24" s="5">
        <v>0</v>
      </c>
      <c r="L24" s="5">
        <v>0</v>
      </c>
      <c r="M24" s="5">
        <v>0</v>
      </c>
      <c r="Q24" s="6">
        <v>0</v>
      </c>
      <c r="R24">
        <f t="shared" si="0"/>
        <v>0</v>
      </c>
      <c r="S24">
        <f t="shared" si="1"/>
        <v>0</v>
      </c>
    </row>
    <row r="25" spans="1:19" ht="15">
      <c r="A25" s="9">
        <f t="shared" si="2"/>
        <v>4</v>
      </c>
      <c r="B25" s="3">
        <v>2614</v>
      </c>
      <c r="C25" s="3">
        <v>1</v>
      </c>
      <c r="D25" s="3" t="s">
        <v>17</v>
      </c>
      <c r="F25" s="10">
        <v>0</v>
      </c>
      <c r="H25" s="4">
        <v>1</v>
      </c>
      <c r="I25" s="4">
        <v>0</v>
      </c>
      <c r="J25" s="4">
        <v>0</v>
      </c>
      <c r="K25" s="5">
        <v>3</v>
      </c>
      <c r="L25" s="5">
        <v>2</v>
      </c>
      <c r="M25" s="5">
        <v>0</v>
      </c>
      <c r="Q25" s="6">
        <v>0</v>
      </c>
      <c r="R25">
        <f t="shared" si="0"/>
        <v>2</v>
      </c>
      <c r="S25">
        <f t="shared" si="1"/>
        <v>0</v>
      </c>
    </row>
    <row r="26" spans="1:19" ht="15">
      <c r="A26" s="9">
        <f t="shared" si="2"/>
        <v>4</v>
      </c>
      <c r="B26" s="3">
        <v>1990</v>
      </c>
      <c r="C26" s="3">
        <v>1</v>
      </c>
      <c r="D26" s="3" t="s">
        <v>17</v>
      </c>
      <c r="F26" s="10">
        <v>0</v>
      </c>
      <c r="H26" s="4">
        <v>2</v>
      </c>
      <c r="I26" s="4">
        <v>2</v>
      </c>
      <c r="J26" s="4">
        <v>0</v>
      </c>
      <c r="K26" s="5">
        <v>0</v>
      </c>
      <c r="L26" s="5">
        <v>0</v>
      </c>
      <c r="M26" s="5">
        <v>1</v>
      </c>
      <c r="Q26" s="6">
        <v>1</v>
      </c>
      <c r="R26">
        <f t="shared" si="0"/>
        <v>-1</v>
      </c>
      <c r="S26">
        <f t="shared" si="1"/>
        <v>3</v>
      </c>
    </row>
    <row r="27" spans="1:19" ht="15">
      <c r="A27" s="9">
        <f t="shared" si="2"/>
        <v>4</v>
      </c>
      <c r="B27" s="3">
        <v>1503</v>
      </c>
      <c r="C27" s="3">
        <v>1</v>
      </c>
      <c r="D27" s="3" t="s">
        <v>17</v>
      </c>
      <c r="F27" s="10">
        <v>0</v>
      </c>
      <c r="H27" s="4">
        <v>0</v>
      </c>
      <c r="I27" s="4">
        <v>0</v>
      </c>
      <c r="J27" s="4">
        <v>0</v>
      </c>
      <c r="K27" s="5">
        <v>1</v>
      </c>
      <c r="L27" s="5">
        <v>1</v>
      </c>
      <c r="M27" s="5">
        <v>1</v>
      </c>
      <c r="Q27" s="6">
        <v>1</v>
      </c>
      <c r="R27">
        <f t="shared" si="0"/>
        <v>0</v>
      </c>
      <c r="S27">
        <f t="shared" si="1"/>
        <v>1</v>
      </c>
    </row>
    <row r="28" spans="1:19" ht="15">
      <c r="A28" s="9">
        <f t="shared" si="2"/>
        <v>5</v>
      </c>
      <c r="B28" s="3">
        <v>3062</v>
      </c>
      <c r="C28" s="3">
        <v>1</v>
      </c>
      <c r="D28" s="3" t="s">
        <v>16</v>
      </c>
      <c r="F28" s="10">
        <v>0</v>
      </c>
      <c r="H28" s="4">
        <v>0</v>
      </c>
      <c r="I28" s="4">
        <v>0</v>
      </c>
      <c r="J28" s="4">
        <v>0</v>
      </c>
      <c r="K28" s="5">
        <v>0</v>
      </c>
      <c r="L28" s="5">
        <v>0</v>
      </c>
      <c r="M28" s="5">
        <v>1</v>
      </c>
      <c r="Q28" s="6">
        <v>0</v>
      </c>
      <c r="R28">
        <f t="shared" si="0"/>
        <v>0</v>
      </c>
      <c r="S28">
        <f t="shared" si="1"/>
        <v>1</v>
      </c>
    </row>
    <row r="29" spans="1:19" ht="15">
      <c r="A29" s="9">
        <f t="shared" si="2"/>
        <v>5</v>
      </c>
      <c r="B29" s="3">
        <v>1249</v>
      </c>
      <c r="C29" s="3">
        <v>1</v>
      </c>
      <c r="D29" s="3" t="s">
        <v>16</v>
      </c>
      <c r="F29" s="10">
        <v>0</v>
      </c>
      <c r="H29" s="4">
        <v>0</v>
      </c>
      <c r="I29" s="4">
        <v>0</v>
      </c>
      <c r="J29" s="4">
        <v>0</v>
      </c>
      <c r="K29" s="5">
        <v>2</v>
      </c>
      <c r="L29" s="5">
        <v>4</v>
      </c>
      <c r="M29" s="5">
        <v>1</v>
      </c>
      <c r="Q29" s="6">
        <v>0</v>
      </c>
      <c r="R29">
        <f t="shared" si="0"/>
        <v>4</v>
      </c>
      <c r="S29">
        <f t="shared" si="1"/>
        <v>1</v>
      </c>
    </row>
    <row r="30" spans="1:19" ht="15">
      <c r="A30" s="9">
        <f t="shared" si="2"/>
        <v>5</v>
      </c>
      <c r="B30" s="3">
        <v>2618</v>
      </c>
      <c r="C30" s="3">
        <v>1</v>
      </c>
      <c r="D30" s="3" t="s">
        <v>16</v>
      </c>
      <c r="F30" s="10">
        <v>0</v>
      </c>
      <c r="H30" s="4">
        <v>0</v>
      </c>
      <c r="I30" s="4">
        <v>0</v>
      </c>
      <c r="J30" s="4">
        <v>0</v>
      </c>
      <c r="K30" s="5">
        <v>0</v>
      </c>
      <c r="L30" s="5">
        <v>0</v>
      </c>
      <c r="M30" s="5">
        <v>0</v>
      </c>
      <c r="Q30" s="6">
        <v>0</v>
      </c>
      <c r="R30">
        <f t="shared" si="0"/>
        <v>0</v>
      </c>
      <c r="S30">
        <f t="shared" si="1"/>
        <v>0</v>
      </c>
    </row>
    <row r="31" spans="1:19" ht="15">
      <c r="A31" s="9">
        <f t="shared" si="2"/>
        <v>5</v>
      </c>
      <c r="B31" s="3">
        <v>1114</v>
      </c>
      <c r="C31" s="3">
        <v>1</v>
      </c>
      <c r="D31" s="3" t="s">
        <v>17</v>
      </c>
      <c r="F31" s="10">
        <v>0</v>
      </c>
      <c r="H31" s="4">
        <v>3</v>
      </c>
      <c r="I31" s="4">
        <v>2</v>
      </c>
      <c r="J31" s="4">
        <v>1</v>
      </c>
      <c r="K31" s="5">
        <v>1</v>
      </c>
      <c r="L31" s="5">
        <v>6</v>
      </c>
      <c r="M31" s="5">
        <v>2</v>
      </c>
      <c r="P31" s="2">
        <v>2</v>
      </c>
      <c r="Q31" s="6">
        <v>0</v>
      </c>
      <c r="R31">
        <f t="shared" si="0"/>
        <v>9</v>
      </c>
      <c r="S31">
        <f t="shared" si="1"/>
        <v>4</v>
      </c>
    </row>
    <row r="32" spans="1:19" ht="15">
      <c r="A32" s="9">
        <f t="shared" si="2"/>
        <v>5</v>
      </c>
      <c r="B32" s="3">
        <v>3193</v>
      </c>
      <c r="C32" s="3">
        <v>1</v>
      </c>
      <c r="D32" s="3" t="s">
        <v>17</v>
      </c>
      <c r="F32" s="10">
        <v>0</v>
      </c>
      <c r="H32" s="4">
        <v>0</v>
      </c>
      <c r="I32" s="4">
        <v>0</v>
      </c>
      <c r="J32" s="4">
        <v>0</v>
      </c>
      <c r="K32" s="5">
        <v>6</v>
      </c>
      <c r="L32" s="5">
        <v>1</v>
      </c>
      <c r="M32" s="5">
        <v>0</v>
      </c>
      <c r="Q32" s="6">
        <v>1</v>
      </c>
      <c r="R32">
        <f t="shared" si="0"/>
        <v>0</v>
      </c>
      <c r="S32">
        <f t="shared" si="1"/>
        <v>0</v>
      </c>
    </row>
    <row r="33" spans="1:19" ht="15">
      <c r="A33" s="9">
        <f t="shared" si="2"/>
        <v>5</v>
      </c>
      <c r="B33" s="3">
        <v>63</v>
      </c>
      <c r="C33" s="3">
        <v>1</v>
      </c>
      <c r="D33" s="3" t="s">
        <v>17</v>
      </c>
      <c r="F33" s="10">
        <v>0</v>
      </c>
      <c r="H33" s="4">
        <v>0</v>
      </c>
      <c r="I33" s="4">
        <v>0</v>
      </c>
      <c r="J33" s="4">
        <v>0</v>
      </c>
      <c r="K33" s="5">
        <v>6</v>
      </c>
      <c r="L33" s="5">
        <v>4</v>
      </c>
      <c r="M33" s="5">
        <v>0</v>
      </c>
      <c r="Q33" s="6">
        <v>0</v>
      </c>
      <c r="R33">
        <f t="shared" si="0"/>
        <v>4</v>
      </c>
      <c r="S33">
        <f t="shared" si="1"/>
        <v>0</v>
      </c>
    </row>
    <row r="34" spans="1:19" ht="15">
      <c r="A34" s="9">
        <f t="shared" si="2"/>
        <v>6</v>
      </c>
      <c r="B34" s="3">
        <v>2656</v>
      </c>
      <c r="C34" s="3">
        <v>1</v>
      </c>
      <c r="D34" s="3" t="s">
        <v>16</v>
      </c>
      <c r="F34" s="10">
        <v>0</v>
      </c>
      <c r="H34" s="4">
        <v>0</v>
      </c>
      <c r="I34" s="4">
        <v>0</v>
      </c>
      <c r="J34" s="4">
        <v>0</v>
      </c>
      <c r="K34" s="5">
        <v>0</v>
      </c>
      <c r="L34" s="5">
        <v>0</v>
      </c>
      <c r="M34" s="5">
        <v>0</v>
      </c>
      <c r="Q34" s="6">
        <v>0</v>
      </c>
      <c r="R34">
        <f t="shared" si="0"/>
        <v>0</v>
      </c>
      <c r="S34">
        <f t="shared" si="1"/>
        <v>0</v>
      </c>
    </row>
    <row r="35" spans="1:19" ht="15">
      <c r="A35" s="9">
        <f aca="true" t="shared" si="3" ref="A35:A98">A29+1</f>
        <v>6</v>
      </c>
      <c r="B35" s="3">
        <v>1279</v>
      </c>
      <c r="C35" s="3">
        <v>1</v>
      </c>
      <c r="D35" s="3" t="s">
        <v>16</v>
      </c>
      <c r="F35" s="10">
        <v>0</v>
      </c>
      <c r="H35" s="4">
        <v>3</v>
      </c>
      <c r="I35" s="4">
        <v>3</v>
      </c>
      <c r="J35" s="4">
        <v>0</v>
      </c>
      <c r="K35" s="5">
        <v>0</v>
      </c>
      <c r="L35" s="5">
        <v>4</v>
      </c>
      <c r="M35" s="5">
        <v>0</v>
      </c>
      <c r="Q35" s="6">
        <v>0</v>
      </c>
      <c r="R35">
        <f aca="true" t="shared" si="4" ref="R35:R98">J35+L35+P35-Q35</f>
        <v>4</v>
      </c>
      <c r="S35">
        <f t="shared" si="1"/>
        <v>3</v>
      </c>
    </row>
    <row r="36" spans="1:19" ht="15">
      <c r="A36" s="9">
        <f t="shared" si="3"/>
        <v>6</v>
      </c>
      <c r="B36" s="3">
        <v>1503</v>
      </c>
      <c r="C36" s="3">
        <v>1</v>
      </c>
      <c r="D36" s="3" t="s">
        <v>16</v>
      </c>
      <c r="F36" s="10">
        <v>0</v>
      </c>
      <c r="H36" s="4">
        <v>0</v>
      </c>
      <c r="I36" s="4">
        <v>0</v>
      </c>
      <c r="J36" s="4">
        <v>0</v>
      </c>
      <c r="K36" s="5">
        <v>2</v>
      </c>
      <c r="L36" s="5">
        <v>4</v>
      </c>
      <c r="M36" s="5">
        <v>1</v>
      </c>
      <c r="Q36" s="6">
        <v>1</v>
      </c>
      <c r="R36">
        <f t="shared" si="4"/>
        <v>3</v>
      </c>
      <c r="S36">
        <f t="shared" si="1"/>
        <v>1</v>
      </c>
    </row>
    <row r="37" spans="1:19" ht="15">
      <c r="A37" s="9">
        <f t="shared" si="3"/>
        <v>6</v>
      </c>
      <c r="B37" s="3">
        <v>433</v>
      </c>
      <c r="C37" s="3">
        <v>1</v>
      </c>
      <c r="D37" s="3" t="s">
        <v>17</v>
      </c>
      <c r="F37" s="10">
        <v>0</v>
      </c>
      <c r="H37" s="4">
        <v>0</v>
      </c>
      <c r="I37" s="4">
        <v>0</v>
      </c>
      <c r="J37" s="4">
        <v>0</v>
      </c>
      <c r="K37" s="5">
        <v>1</v>
      </c>
      <c r="L37" s="5">
        <v>0</v>
      </c>
      <c r="M37" s="5">
        <v>1</v>
      </c>
      <c r="Q37" s="6">
        <v>0</v>
      </c>
      <c r="R37">
        <f t="shared" si="4"/>
        <v>0</v>
      </c>
      <c r="S37">
        <f t="shared" si="1"/>
        <v>1</v>
      </c>
    </row>
    <row r="38" spans="1:19" ht="15">
      <c r="A38" s="9">
        <f t="shared" si="3"/>
        <v>6</v>
      </c>
      <c r="B38" s="3">
        <v>3138</v>
      </c>
      <c r="C38" s="3">
        <v>1</v>
      </c>
      <c r="D38" s="3" t="s">
        <v>17</v>
      </c>
      <c r="F38" s="10">
        <v>0</v>
      </c>
      <c r="H38" s="4">
        <v>0</v>
      </c>
      <c r="I38" s="4">
        <v>1</v>
      </c>
      <c r="J38" s="4">
        <v>0</v>
      </c>
      <c r="K38" s="5">
        <v>1</v>
      </c>
      <c r="L38" s="5">
        <v>1</v>
      </c>
      <c r="M38" s="5">
        <v>3</v>
      </c>
      <c r="Q38" s="6">
        <v>0</v>
      </c>
      <c r="R38">
        <f t="shared" si="4"/>
        <v>1</v>
      </c>
      <c r="S38">
        <f t="shared" si="1"/>
        <v>4</v>
      </c>
    </row>
    <row r="39" spans="1:19" ht="15">
      <c r="A39" s="9">
        <f t="shared" si="3"/>
        <v>6</v>
      </c>
      <c r="B39" s="3">
        <v>2279</v>
      </c>
      <c r="C39" s="3">
        <v>1</v>
      </c>
      <c r="D39" s="3" t="s">
        <v>17</v>
      </c>
      <c r="F39" s="10">
        <v>0</v>
      </c>
      <c r="H39" s="4">
        <v>0</v>
      </c>
      <c r="I39" s="4">
        <v>0</v>
      </c>
      <c r="J39" s="4">
        <v>0</v>
      </c>
      <c r="K39" s="5">
        <v>0</v>
      </c>
      <c r="L39" s="5">
        <v>0</v>
      </c>
      <c r="M39" s="5">
        <v>0</v>
      </c>
      <c r="Q39" s="6">
        <v>0</v>
      </c>
      <c r="R39">
        <f t="shared" si="4"/>
        <v>0</v>
      </c>
      <c r="S39">
        <f t="shared" si="1"/>
        <v>0</v>
      </c>
    </row>
    <row r="40" spans="1:19" ht="15">
      <c r="A40" s="9">
        <f t="shared" si="3"/>
        <v>7</v>
      </c>
      <c r="B40" s="3">
        <v>451</v>
      </c>
      <c r="C40" s="3">
        <v>1</v>
      </c>
      <c r="D40" s="3" t="s">
        <v>16</v>
      </c>
      <c r="F40" s="10">
        <v>0</v>
      </c>
      <c r="H40" s="4">
        <v>0</v>
      </c>
      <c r="I40" s="4">
        <v>0</v>
      </c>
      <c r="J40" s="4">
        <v>0</v>
      </c>
      <c r="K40" s="5">
        <v>0</v>
      </c>
      <c r="L40" s="5">
        <v>0</v>
      </c>
      <c r="M40" s="5">
        <v>0</v>
      </c>
      <c r="Q40" s="6">
        <v>0</v>
      </c>
      <c r="R40">
        <f t="shared" si="4"/>
        <v>0</v>
      </c>
      <c r="S40">
        <f t="shared" si="1"/>
        <v>0</v>
      </c>
    </row>
    <row r="41" spans="1:19" ht="15">
      <c r="A41" s="9">
        <f t="shared" si="3"/>
        <v>7</v>
      </c>
      <c r="B41" s="3">
        <v>1990</v>
      </c>
      <c r="C41" s="3">
        <v>1</v>
      </c>
      <c r="D41" s="3" t="s">
        <v>16</v>
      </c>
      <c r="F41" s="10">
        <v>0</v>
      </c>
      <c r="H41" s="4">
        <v>0</v>
      </c>
      <c r="I41" s="4">
        <v>0</v>
      </c>
      <c r="J41" s="4">
        <v>0</v>
      </c>
      <c r="K41" s="5">
        <v>1</v>
      </c>
      <c r="L41" s="5">
        <v>1</v>
      </c>
      <c r="M41" s="5">
        <v>0</v>
      </c>
      <c r="Q41" s="6">
        <v>0</v>
      </c>
      <c r="R41">
        <f t="shared" si="4"/>
        <v>1</v>
      </c>
      <c r="S41">
        <f t="shared" si="1"/>
        <v>0</v>
      </c>
    </row>
    <row r="42" spans="1:19" ht="15">
      <c r="A42" s="9">
        <f t="shared" si="3"/>
        <v>7</v>
      </c>
      <c r="B42" s="3">
        <v>2641</v>
      </c>
      <c r="C42" s="3">
        <v>1</v>
      </c>
      <c r="D42" s="3" t="s">
        <v>16</v>
      </c>
      <c r="F42" s="10">
        <v>0</v>
      </c>
      <c r="H42" s="4">
        <v>1</v>
      </c>
      <c r="I42" s="4">
        <v>0</v>
      </c>
      <c r="J42" s="4">
        <v>0</v>
      </c>
      <c r="K42" s="5">
        <v>1</v>
      </c>
      <c r="L42" s="5">
        <v>0</v>
      </c>
      <c r="M42" s="5">
        <v>0</v>
      </c>
      <c r="Q42" s="6">
        <v>1</v>
      </c>
      <c r="R42">
        <f t="shared" si="4"/>
        <v>-1</v>
      </c>
      <c r="S42">
        <f t="shared" si="1"/>
        <v>0</v>
      </c>
    </row>
    <row r="43" spans="1:19" ht="15">
      <c r="A43" s="9">
        <f t="shared" si="3"/>
        <v>7</v>
      </c>
      <c r="B43" s="3">
        <v>222</v>
      </c>
      <c r="C43" s="3">
        <v>1</v>
      </c>
      <c r="D43" s="3" t="s">
        <v>17</v>
      </c>
      <c r="F43" s="10">
        <v>0</v>
      </c>
      <c r="H43" s="4">
        <v>0</v>
      </c>
      <c r="I43" s="4">
        <v>2</v>
      </c>
      <c r="J43" s="4">
        <v>0</v>
      </c>
      <c r="K43" s="5">
        <v>0</v>
      </c>
      <c r="L43" s="5">
        <v>3</v>
      </c>
      <c r="M43" s="5">
        <v>0</v>
      </c>
      <c r="Q43" s="6">
        <v>0</v>
      </c>
      <c r="R43">
        <f t="shared" si="4"/>
        <v>3</v>
      </c>
      <c r="S43">
        <f t="shared" si="1"/>
        <v>2</v>
      </c>
    </row>
    <row r="44" spans="1:19" ht="15">
      <c r="A44" s="9">
        <f t="shared" si="3"/>
        <v>7</v>
      </c>
      <c r="B44" s="3">
        <v>117</v>
      </c>
      <c r="C44" s="3">
        <v>1</v>
      </c>
      <c r="D44" s="3" t="s">
        <v>17</v>
      </c>
      <c r="F44" s="10">
        <v>0</v>
      </c>
      <c r="H44" s="4">
        <v>0</v>
      </c>
      <c r="I44" s="4">
        <v>0</v>
      </c>
      <c r="J44" s="4">
        <v>0</v>
      </c>
      <c r="K44" s="5">
        <v>1</v>
      </c>
      <c r="L44" s="5">
        <v>0</v>
      </c>
      <c r="M44" s="5">
        <v>0</v>
      </c>
      <c r="Q44" s="6">
        <v>0</v>
      </c>
      <c r="R44">
        <f t="shared" si="4"/>
        <v>0</v>
      </c>
      <c r="S44">
        <f t="shared" si="1"/>
        <v>0</v>
      </c>
    </row>
    <row r="45" spans="1:19" ht="15">
      <c r="A45" s="9">
        <f t="shared" si="3"/>
        <v>7</v>
      </c>
      <c r="B45" s="3">
        <v>2603</v>
      </c>
      <c r="C45" s="3">
        <v>1</v>
      </c>
      <c r="D45" s="3" t="s">
        <v>17</v>
      </c>
      <c r="F45" s="10">
        <v>0</v>
      </c>
      <c r="H45" s="4">
        <v>0</v>
      </c>
      <c r="I45" s="4">
        <v>0</v>
      </c>
      <c r="J45" s="4">
        <v>0</v>
      </c>
      <c r="K45" s="5">
        <v>0</v>
      </c>
      <c r="L45" s="5">
        <v>0</v>
      </c>
      <c r="M45" s="5">
        <v>0</v>
      </c>
      <c r="Q45" s="6">
        <v>1</v>
      </c>
      <c r="R45">
        <f t="shared" si="4"/>
        <v>-1</v>
      </c>
      <c r="S45">
        <f t="shared" si="1"/>
        <v>0</v>
      </c>
    </row>
    <row r="46" spans="1:19" ht="15">
      <c r="A46" s="9">
        <f t="shared" si="3"/>
        <v>8</v>
      </c>
      <c r="B46" s="3">
        <v>1317</v>
      </c>
      <c r="C46" s="3">
        <v>1</v>
      </c>
      <c r="D46" s="3" t="s">
        <v>16</v>
      </c>
      <c r="F46" s="10">
        <v>2</v>
      </c>
      <c r="H46" s="4">
        <v>0</v>
      </c>
      <c r="I46" s="4">
        <v>0</v>
      </c>
      <c r="J46" s="4">
        <v>0</v>
      </c>
      <c r="K46" s="5">
        <v>0</v>
      </c>
      <c r="L46" s="5">
        <v>0</v>
      </c>
      <c r="M46" s="5">
        <v>0</v>
      </c>
      <c r="Q46" s="6">
        <v>0</v>
      </c>
      <c r="R46">
        <f t="shared" si="4"/>
        <v>0</v>
      </c>
      <c r="S46">
        <f t="shared" si="1"/>
        <v>0</v>
      </c>
    </row>
    <row r="47" spans="1:19" ht="15">
      <c r="A47" s="9">
        <f t="shared" si="3"/>
        <v>8</v>
      </c>
      <c r="B47" s="3">
        <v>63</v>
      </c>
      <c r="C47" s="3">
        <v>1</v>
      </c>
      <c r="D47" s="3" t="s">
        <v>16</v>
      </c>
      <c r="F47" s="10">
        <v>0</v>
      </c>
      <c r="H47" s="4">
        <v>1</v>
      </c>
      <c r="I47" s="4">
        <v>1</v>
      </c>
      <c r="J47" s="4">
        <v>0</v>
      </c>
      <c r="K47" s="5">
        <v>0</v>
      </c>
      <c r="L47" s="5">
        <v>3</v>
      </c>
      <c r="M47" s="5">
        <v>0</v>
      </c>
      <c r="Q47" s="6">
        <v>0</v>
      </c>
      <c r="R47">
        <f t="shared" si="4"/>
        <v>3</v>
      </c>
      <c r="S47">
        <f t="shared" si="1"/>
        <v>1</v>
      </c>
    </row>
    <row r="48" spans="1:19" ht="15">
      <c r="A48" s="9">
        <f t="shared" si="3"/>
        <v>8</v>
      </c>
      <c r="B48" s="3">
        <v>337</v>
      </c>
      <c r="C48" s="3">
        <v>1</v>
      </c>
      <c r="D48" s="3" t="s">
        <v>16</v>
      </c>
      <c r="F48" s="10">
        <v>0</v>
      </c>
      <c r="H48" s="4">
        <v>0</v>
      </c>
      <c r="I48" s="4">
        <v>0</v>
      </c>
      <c r="J48" s="4">
        <v>0</v>
      </c>
      <c r="K48" s="5">
        <v>0</v>
      </c>
      <c r="L48" s="5">
        <v>1</v>
      </c>
      <c r="M48" s="5">
        <v>0</v>
      </c>
      <c r="Q48" s="6">
        <v>0</v>
      </c>
      <c r="R48">
        <f t="shared" si="4"/>
        <v>1</v>
      </c>
      <c r="S48">
        <f t="shared" si="1"/>
        <v>0</v>
      </c>
    </row>
    <row r="49" spans="1:19" ht="15">
      <c r="A49" s="9">
        <f t="shared" si="3"/>
        <v>8</v>
      </c>
      <c r="B49" s="3">
        <v>2809</v>
      </c>
      <c r="C49" s="3">
        <v>1</v>
      </c>
      <c r="D49" s="3" t="s">
        <v>17</v>
      </c>
      <c r="E49" s="3" t="s">
        <v>40</v>
      </c>
      <c r="F49" s="10">
        <v>0</v>
      </c>
      <c r="H49" s="4">
        <v>0</v>
      </c>
      <c r="I49" s="4">
        <v>0</v>
      </c>
      <c r="J49" s="4">
        <v>0</v>
      </c>
      <c r="K49" s="5">
        <v>1</v>
      </c>
      <c r="L49" s="5">
        <v>3</v>
      </c>
      <c r="M49" s="5">
        <v>0</v>
      </c>
      <c r="Q49" s="6">
        <v>0</v>
      </c>
      <c r="R49">
        <f t="shared" si="4"/>
        <v>3</v>
      </c>
      <c r="S49">
        <f t="shared" si="1"/>
        <v>0</v>
      </c>
    </row>
    <row r="50" spans="1:19" ht="15">
      <c r="A50" s="9">
        <f t="shared" si="3"/>
        <v>8</v>
      </c>
      <c r="B50" s="3">
        <v>3260</v>
      </c>
      <c r="C50" s="3">
        <v>1</v>
      </c>
      <c r="D50" s="3" t="s">
        <v>17</v>
      </c>
      <c r="F50" s="10">
        <v>0</v>
      </c>
      <c r="H50" s="4">
        <v>0</v>
      </c>
      <c r="I50" s="4">
        <v>0</v>
      </c>
      <c r="J50" s="4">
        <v>0</v>
      </c>
      <c r="K50" s="5">
        <v>0</v>
      </c>
      <c r="L50" s="5">
        <v>0</v>
      </c>
      <c r="M50" s="5">
        <v>0</v>
      </c>
      <c r="Q50" s="6">
        <v>0</v>
      </c>
      <c r="R50">
        <f t="shared" si="4"/>
        <v>0</v>
      </c>
      <c r="S50">
        <f t="shared" si="1"/>
        <v>0</v>
      </c>
    </row>
    <row r="51" spans="1:19" ht="15">
      <c r="A51" s="9">
        <f t="shared" si="3"/>
        <v>8</v>
      </c>
      <c r="B51" s="3">
        <v>1038</v>
      </c>
      <c r="C51" s="3">
        <v>1</v>
      </c>
      <c r="D51" s="3" t="s">
        <v>17</v>
      </c>
      <c r="F51" s="10">
        <v>0</v>
      </c>
      <c r="H51" s="4">
        <v>0</v>
      </c>
      <c r="I51" s="4">
        <v>0</v>
      </c>
      <c r="J51" s="4">
        <v>0</v>
      </c>
      <c r="K51" s="5">
        <v>1</v>
      </c>
      <c r="L51" s="5">
        <v>2</v>
      </c>
      <c r="M51" s="5">
        <v>1</v>
      </c>
      <c r="Q51" s="6">
        <v>1</v>
      </c>
      <c r="R51">
        <f t="shared" si="4"/>
        <v>1</v>
      </c>
      <c r="S51">
        <f t="shared" si="1"/>
        <v>1</v>
      </c>
    </row>
    <row r="52" spans="1:19" ht="15">
      <c r="A52" s="9">
        <f t="shared" si="3"/>
        <v>9</v>
      </c>
      <c r="B52" s="3">
        <v>306</v>
      </c>
      <c r="C52" s="3">
        <v>1</v>
      </c>
      <c r="D52" s="3" t="s">
        <v>16</v>
      </c>
      <c r="F52" s="10">
        <v>0</v>
      </c>
      <c r="H52" s="4">
        <v>0</v>
      </c>
      <c r="I52" s="4">
        <v>0</v>
      </c>
      <c r="J52" s="4">
        <v>0</v>
      </c>
      <c r="K52" s="5">
        <v>1</v>
      </c>
      <c r="L52" s="5">
        <v>0</v>
      </c>
      <c r="M52" s="5">
        <v>0</v>
      </c>
      <c r="Q52" s="6">
        <v>0</v>
      </c>
      <c r="R52">
        <f t="shared" si="4"/>
        <v>0</v>
      </c>
      <c r="S52">
        <f t="shared" si="1"/>
        <v>0</v>
      </c>
    </row>
    <row r="53" spans="1:19" ht="15">
      <c r="A53" s="9">
        <f t="shared" si="3"/>
        <v>9</v>
      </c>
      <c r="B53" s="3">
        <v>2656</v>
      </c>
      <c r="C53" s="3">
        <v>1</v>
      </c>
      <c r="D53" s="3" t="s">
        <v>16</v>
      </c>
      <c r="F53" s="10">
        <v>0</v>
      </c>
      <c r="H53" s="4">
        <v>0</v>
      </c>
      <c r="I53" s="4">
        <v>0</v>
      </c>
      <c r="J53" s="4">
        <v>0</v>
      </c>
      <c r="K53" s="5">
        <v>0</v>
      </c>
      <c r="L53" s="5">
        <v>0</v>
      </c>
      <c r="M53" s="5">
        <v>0</v>
      </c>
      <c r="Q53" s="6">
        <v>0</v>
      </c>
      <c r="R53">
        <f t="shared" si="4"/>
        <v>0</v>
      </c>
      <c r="S53">
        <f t="shared" si="1"/>
        <v>0</v>
      </c>
    </row>
    <row r="54" spans="1:19" ht="15">
      <c r="A54" s="9">
        <f t="shared" si="3"/>
        <v>9</v>
      </c>
      <c r="B54" s="3">
        <v>1114</v>
      </c>
      <c r="C54" s="3">
        <v>1</v>
      </c>
      <c r="D54" s="3" t="s">
        <v>16</v>
      </c>
      <c r="F54" s="10">
        <v>0</v>
      </c>
      <c r="H54" s="4">
        <v>3</v>
      </c>
      <c r="I54" s="4">
        <v>2</v>
      </c>
      <c r="J54" s="4">
        <v>1</v>
      </c>
      <c r="K54" s="5">
        <v>7</v>
      </c>
      <c r="L54" s="5">
        <v>5</v>
      </c>
      <c r="M54" s="5">
        <v>0</v>
      </c>
      <c r="P54" s="2">
        <v>2</v>
      </c>
      <c r="Q54" s="6">
        <v>0</v>
      </c>
      <c r="R54">
        <f t="shared" si="4"/>
        <v>8</v>
      </c>
      <c r="S54">
        <f t="shared" si="1"/>
        <v>2</v>
      </c>
    </row>
    <row r="55" spans="1:19" ht="15">
      <c r="A55" s="9">
        <f t="shared" si="3"/>
        <v>9</v>
      </c>
      <c r="B55" s="3">
        <v>3062</v>
      </c>
      <c r="C55" s="3">
        <v>1</v>
      </c>
      <c r="D55" s="3" t="s">
        <v>17</v>
      </c>
      <c r="F55" s="10">
        <v>0</v>
      </c>
      <c r="H55" s="4">
        <v>0</v>
      </c>
      <c r="I55" s="4">
        <v>0</v>
      </c>
      <c r="J55" s="4">
        <v>0</v>
      </c>
      <c r="K55" s="5">
        <v>1</v>
      </c>
      <c r="L55" s="5">
        <v>0</v>
      </c>
      <c r="M55" s="5">
        <v>0</v>
      </c>
      <c r="Q55" s="6">
        <v>0</v>
      </c>
      <c r="R55">
        <f t="shared" si="4"/>
        <v>0</v>
      </c>
      <c r="S55">
        <f t="shared" si="1"/>
        <v>0</v>
      </c>
    </row>
    <row r="56" spans="1:19" ht="15">
      <c r="A56" s="9">
        <f t="shared" si="3"/>
        <v>9</v>
      </c>
      <c r="B56" s="3">
        <v>2544</v>
      </c>
      <c r="C56" s="3">
        <v>1</v>
      </c>
      <c r="D56" s="3" t="s">
        <v>17</v>
      </c>
      <c r="F56" s="10">
        <v>0</v>
      </c>
      <c r="H56" s="4">
        <v>0</v>
      </c>
      <c r="I56" s="4">
        <v>0</v>
      </c>
      <c r="J56" s="4">
        <v>0</v>
      </c>
      <c r="K56" s="5">
        <v>0</v>
      </c>
      <c r="L56" s="5">
        <v>0</v>
      </c>
      <c r="M56" s="5">
        <v>0</v>
      </c>
      <c r="Q56" s="6">
        <v>0</v>
      </c>
      <c r="R56">
        <f t="shared" si="4"/>
        <v>0</v>
      </c>
      <c r="S56">
        <f t="shared" si="1"/>
        <v>0</v>
      </c>
    </row>
    <row r="57" spans="1:19" ht="15">
      <c r="A57" s="9">
        <f t="shared" si="3"/>
        <v>9</v>
      </c>
      <c r="B57" s="3">
        <v>2051</v>
      </c>
      <c r="C57" s="3">
        <v>1</v>
      </c>
      <c r="D57" s="3" t="s">
        <v>17</v>
      </c>
      <c r="F57" s="10">
        <v>0</v>
      </c>
      <c r="H57" s="4">
        <v>0</v>
      </c>
      <c r="I57" s="4">
        <v>0</v>
      </c>
      <c r="J57" s="4">
        <v>0</v>
      </c>
      <c r="K57" s="5">
        <v>0</v>
      </c>
      <c r="L57" s="5">
        <v>1</v>
      </c>
      <c r="M57" s="5">
        <v>0</v>
      </c>
      <c r="Q57" s="6">
        <v>0</v>
      </c>
      <c r="R57">
        <f t="shared" si="4"/>
        <v>1</v>
      </c>
      <c r="S57">
        <f t="shared" si="1"/>
        <v>0</v>
      </c>
    </row>
    <row r="58" spans="1:19" ht="15">
      <c r="A58" s="9">
        <f t="shared" si="3"/>
        <v>10</v>
      </c>
      <c r="B58" s="3">
        <v>2252</v>
      </c>
      <c r="C58" s="3">
        <v>1</v>
      </c>
      <c r="D58" s="3" t="s">
        <v>16</v>
      </c>
      <c r="F58" s="10">
        <v>0</v>
      </c>
      <c r="H58" s="4">
        <v>0</v>
      </c>
      <c r="I58" s="4">
        <v>0</v>
      </c>
      <c r="J58" s="4">
        <v>0</v>
      </c>
      <c r="K58" s="5">
        <v>0</v>
      </c>
      <c r="L58" s="5">
        <v>2</v>
      </c>
      <c r="M58" s="5">
        <v>0</v>
      </c>
      <c r="Q58" s="6">
        <v>0</v>
      </c>
      <c r="R58">
        <f t="shared" si="4"/>
        <v>2</v>
      </c>
      <c r="S58">
        <f t="shared" si="1"/>
        <v>0</v>
      </c>
    </row>
    <row r="59" spans="1:19" ht="15">
      <c r="A59" s="9">
        <f t="shared" si="3"/>
        <v>10</v>
      </c>
      <c r="B59" s="3">
        <v>2614</v>
      </c>
      <c r="C59" s="3">
        <v>1</v>
      </c>
      <c r="D59" s="3" t="s">
        <v>16</v>
      </c>
      <c r="F59" s="10">
        <v>0</v>
      </c>
      <c r="H59" s="4">
        <v>2</v>
      </c>
      <c r="I59" s="4">
        <v>2</v>
      </c>
      <c r="J59" s="4">
        <v>0</v>
      </c>
      <c r="K59" s="5">
        <v>6</v>
      </c>
      <c r="L59" s="5">
        <v>0</v>
      </c>
      <c r="M59" s="5">
        <v>1</v>
      </c>
      <c r="Q59" s="6">
        <v>0</v>
      </c>
      <c r="R59">
        <f t="shared" si="4"/>
        <v>0</v>
      </c>
      <c r="S59">
        <f t="shared" si="1"/>
        <v>3</v>
      </c>
    </row>
    <row r="60" spans="1:19" ht="15">
      <c r="A60" s="9">
        <f t="shared" si="3"/>
        <v>10</v>
      </c>
      <c r="B60" s="3">
        <v>1743</v>
      </c>
      <c r="C60" s="3">
        <v>1</v>
      </c>
      <c r="D60" s="3" t="s">
        <v>16</v>
      </c>
      <c r="F60" s="10">
        <v>0</v>
      </c>
      <c r="H60" s="4">
        <v>0</v>
      </c>
      <c r="I60" s="4">
        <v>0</v>
      </c>
      <c r="J60" s="4">
        <v>0</v>
      </c>
      <c r="K60" s="5">
        <v>0</v>
      </c>
      <c r="L60" s="5">
        <v>0</v>
      </c>
      <c r="M60" s="5">
        <v>2</v>
      </c>
      <c r="Q60" s="6">
        <v>0</v>
      </c>
      <c r="R60">
        <f t="shared" si="4"/>
        <v>0</v>
      </c>
      <c r="S60">
        <f t="shared" si="1"/>
        <v>2</v>
      </c>
    </row>
    <row r="61" spans="1:19" ht="15">
      <c r="A61" s="9">
        <f t="shared" si="3"/>
        <v>10</v>
      </c>
      <c r="B61" s="3">
        <v>128</v>
      </c>
      <c r="C61" s="3">
        <v>1</v>
      </c>
      <c r="D61" s="3" t="s">
        <v>17</v>
      </c>
      <c r="F61" s="10">
        <v>0</v>
      </c>
      <c r="H61" s="4">
        <v>0</v>
      </c>
      <c r="I61" s="4">
        <v>0</v>
      </c>
      <c r="J61" s="4">
        <v>0</v>
      </c>
      <c r="K61" s="5">
        <v>0</v>
      </c>
      <c r="L61" s="5">
        <v>0</v>
      </c>
      <c r="M61" s="5">
        <v>0</v>
      </c>
      <c r="Q61" s="6">
        <v>0</v>
      </c>
      <c r="R61">
        <f t="shared" si="4"/>
        <v>0</v>
      </c>
      <c r="S61">
        <f t="shared" si="1"/>
        <v>0</v>
      </c>
    </row>
    <row r="62" spans="1:19" ht="15">
      <c r="A62" s="9">
        <f t="shared" si="3"/>
        <v>10</v>
      </c>
      <c r="B62" s="3">
        <v>1249</v>
      </c>
      <c r="C62" s="3">
        <v>1</v>
      </c>
      <c r="D62" s="3" t="s">
        <v>17</v>
      </c>
      <c r="F62" s="10">
        <v>0</v>
      </c>
      <c r="H62" s="4">
        <v>0</v>
      </c>
      <c r="I62" s="4">
        <v>0</v>
      </c>
      <c r="J62" s="4">
        <v>0</v>
      </c>
      <c r="K62" s="5">
        <v>1</v>
      </c>
      <c r="L62" s="5">
        <v>0</v>
      </c>
      <c r="M62" s="5">
        <v>0</v>
      </c>
      <c r="Q62" s="6">
        <v>0</v>
      </c>
      <c r="R62">
        <f t="shared" si="4"/>
        <v>0</v>
      </c>
      <c r="S62">
        <f t="shared" si="1"/>
        <v>0</v>
      </c>
    </row>
    <row r="63" spans="1:19" ht="15">
      <c r="A63" s="9">
        <f t="shared" si="3"/>
        <v>10</v>
      </c>
      <c r="B63" s="3">
        <v>1708</v>
      </c>
      <c r="C63" s="3">
        <v>1</v>
      </c>
      <c r="D63" s="3" t="s">
        <v>17</v>
      </c>
      <c r="F63" s="10">
        <v>0</v>
      </c>
      <c r="H63" s="4">
        <v>0</v>
      </c>
      <c r="I63" s="4">
        <v>0</v>
      </c>
      <c r="J63" s="4">
        <v>0</v>
      </c>
      <c r="K63" s="5">
        <v>0</v>
      </c>
      <c r="L63" s="5">
        <v>0</v>
      </c>
      <c r="M63" s="5">
        <v>0</v>
      </c>
      <c r="Q63" s="6">
        <v>0</v>
      </c>
      <c r="R63">
        <f t="shared" si="4"/>
        <v>0</v>
      </c>
      <c r="S63">
        <f t="shared" si="1"/>
        <v>0</v>
      </c>
    </row>
    <row r="64" spans="1:19" ht="15">
      <c r="A64" s="9">
        <f t="shared" si="3"/>
        <v>11</v>
      </c>
      <c r="B64" s="3">
        <v>2618</v>
      </c>
      <c r="C64" s="3">
        <v>1</v>
      </c>
      <c r="D64" s="3" t="s">
        <v>16</v>
      </c>
      <c r="F64" s="10">
        <v>0</v>
      </c>
      <c r="H64" s="4">
        <v>0</v>
      </c>
      <c r="I64" s="4">
        <v>0</v>
      </c>
      <c r="J64" s="4">
        <v>0</v>
      </c>
      <c r="K64" s="5">
        <v>0</v>
      </c>
      <c r="L64" s="5">
        <v>0</v>
      </c>
      <c r="M64" s="5">
        <v>0</v>
      </c>
      <c r="Q64" s="6">
        <v>0</v>
      </c>
      <c r="R64">
        <f t="shared" si="4"/>
        <v>0</v>
      </c>
      <c r="S64">
        <f t="shared" si="1"/>
        <v>0</v>
      </c>
    </row>
    <row r="65" spans="1:19" ht="15">
      <c r="A65" s="9">
        <f t="shared" si="3"/>
        <v>11</v>
      </c>
      <c r="B65" s="3">
        <v>1503</v>
      </c>
      <c r="C65" s="3">
        <v>1</v>
      </c>
      <c r="D65" s="3" t="s">
        <v>16</v>
      </c>
      <c r="F65" s="10">
        <v>0</v>
      </c>
      <c r="H65" s="4">
        <v>0</v>
      </c>
      <c r="I65" s="4">
        <v>0</v>
      </c>
      <c r="J65" s="4">
        <v>0</v>
      </c>
      <c r="K65" s="5">
        <v>1</v>
      </c>
      <c r="L65" s="5">
        <v>0</v>
      </c>
      <c r="M65" s="5">
        <v>2</v>
      </c>
      <c r="Q65" s="6">
        <v>0</v>
      </c>
      <c r="R65">
        <f t="shared" si="4"/>
        <v>0</v>
      </c>
      <c r="S65">
        <f t="shared" si="1"/>
        <v>2</v>
      </c>
    </row>
    <row r="66" spans="1:19" ht="15">
      <c r="A66" s="9">
        <f t="shared" si="3"/>
        <v>11</v>
      </c>
      <c r="B66" s="3">
        <v>222</v>
      </c>
      <c r="C66" s="3">
        <v>1</v>
      </c>
      <c r="D66" s="3" t="s">
        <v>16</v>
      </c>
      <c r="F66" s="10">
        <v>0</v>
      </c>
      <c r="H66" s="4">
        <v>0</v>
      </c>
      <c r="I66" s="4">
        <v>0</v>
      </c>
      <c r="J66" s="4">
        <v>0</v>
      </c>
      <c r="K66" s="5">
        <v>0</v>
      </c>
      <c r="L66" s="5">
        <v>0</v>
      </c>
      <c r="M66" s="5">
        <v>0</v>
      </c>
      <c r="Q66" s="6">
        <v>1</v>
      </c>
      <c r="R66">
        <f t="shared" si="4"/>
        <v>-1</v>
      </c>
      <c r="S66">
        <f t="shared" si="1"/>
        <v>0</v>
      </c>
    </row>
    <row r="67" spans="1:19" ht="15">
      <c r="A67" s="9">
        <f t="shared" si="3"/>
        <v>11</v>
      </c>
      <c r="B67" s="3">
        <v>3193</v>
      </c>
      <c r="C67" s="3">
        <v>1</v>
      </c>
      <c r="D67" s="3" t="s">
        <v>17</v>
      </c>
      <c r="F67" s="10">
        <v>0</v>
      </c>
      <c r="H67" s="4">
        <v>0</v>
      </c>
      <c r="I67" s="4">
        <v>0</v>
      </c>
      <c r="J67" s="4">
        <v>0</v>
      </c>
      <c r="K67" s="5">
        <v>1</v>
      </c>
      <c r="L67" s="5">
        <v>0</v>
      </c>
      <c r="M67" s="5">
        <v>0</v>
      </c>
      <c r="Q67" s="6">
        <v>0</v>
      </c>
      <c r="R67">
        <f t="shared" si="4"/>
        <v>0</v>
      </c>
      <c r="S67">
        <f t="shared" si="1"/>
        <v>0</v>
      </c>
    </row>
    <row r="68" spans="1:19" ht="15">
      <c r="A68" s="9">
        <f t="shared" si="3"/>
        <v>11</v>
      </c>
      <c r="B68" s="3">
        <v>2641</v>
      </c>
      <c r="C68" s="3">
        <v>1</v>
      </c>
      <c r="D68" s="3" t="s">
        <v>17</v>
      </c>
      <c r="F68" s="10">
        <v>0</v>
      </c>
      <c r="H68" s="4">
        <v>0</v>
      </c>
      <c r="I68" s="4">
        <v>0</v>
      </c>
      <c r="J68" s="4">
        <v>0</v>
      </c>
      <c r="K68" s="5">
        <v>1</v>
      </c>
      <c r="L68" s="5">
        <v>0</v>
      </c>
      <c r="M68" s="5">
        <v>0</v>
      </c>
      <c r="Q68" s="6">
        <v>0</v>
      </c>
      <c r="R68">
        <f t="shared" si="4"/>
        <v>0</v>
      </c>
      <c r="S68">
        <f aca="true" t="shared" si="5" ref="S68:S131">I68+M68</f>
        <v>0</v>
      </c>
    </row>
    <row r="69" spans="1:19" ht="15">
      <c r="A69" s="9">
        <f t="shared" si="3"/>
        <v>11</v>
      </c>
      <c r="B69" s="3">
        <v>1317</v>
      </c>
      <c r="C69" s="3">
        <v>1</v>
      </c>
      <c r="D69" s="3" t="s">
        <v>17</v>
      </c>
      <c r="F69" s="10">
        <v>0</v>
      </c>
      <c r="G69" s="10">
        <v>1</v>
      </c>
      <c r="H69" s="4">
        <v>0</v>
      </c>
      <c r="I69" s="4">
        <v>0</v>
      </c>
      <c r="J69" s="4">
        <v>0</v>
      </c>
      <c r="K69" s="5">
        <v>0</v>
      </c>
      <c r="L69" s="5">
        <v>2</v>
      </c>
      <c r="M69" s="5">
        <v>0</v>
      </c>
      <c r="Q69" s="6">
        <v>0</v>
      </c>
      <c r="R69">
        <f t="shared" si="4"/>
        <v>2</v>
      </c>
      <c r="S69">
        <f t="shared" si="5"/>
        <v>0</v>
      </c>
    </row>
    <row r="70" spans="1:19" ht="15">
      <c r="A70" s="9">
        <f t="shared" si="3"/>
        <v>12</v>
      </c>
      <c r="B70" s="3">
        <v>1708</v>
      </c>
      <c r="C70" s="3">
        <v>1</v>
      </c>
      <c r="D70" s="3" t="s">
        <v>16</v>
      </c>
      <c r="F70" s="10">
        <v>0</v>
      </c>
      <c r="H70" s="4">
        <v>0</v>
      </c>
      <c r="I70" s="4">
        <v>0</v>
      </c>
      <c r="J70" s="4">
        <v>0</v>
      </c>
      <c r="K70" s="5">
        <v>0</v>
      </c>
      <c r="L70" s="5">
        <v>0</v>
      </c>
      <c r="M70" s="5">
        <v>0</v>
      </c>
      <c r="Q70" s="6">
        <v>0</v>
      </c>
      <c r="R70">
        <f t="shared" si="4"/>
        <v>0</v>
      </c>
      <c r="S70">
        <f t="shared" si="5"/>
        <v>0</v>
      </c>
    </row>
    <row r="71" spans="1:19" ht="15">
      <c r="A71" s="9">
        <f t="shared" si="3"/>
        <v>12</v>
      </c>
      <c r="B71" s="3">
        <v>2252</v>
      </c>
      <c r="C71" s="3">
        <v>1</v>
      </c>
      <c r="D71" s="3" t="s">
        <v>16</v>
      </c>
      <c r="F71" s="10">
        <v>0</v>
      </c>
      <c r="H71" s="4">
        <v>0</v>
      </c>
      <c r="I71" s="4">
        <v>0</v>
      </c>
      <c r="J71" s="4">
        <v>0</v>
      </c>
      <c r="K71" s="5">
        <v>2</v>
      </c>
      <c r="L71" s="5">
        <v>4</v>
      </c>
      <c r="M71" s="5">
        <v>0</v>
      </c>
      <c r="Q71" s="6">
        <v>0</v>
      </c>
      <c r="R71">
        <f t="shared" si="4"/>
        <v>4</v>
      </c>
      <c r="S71">
        <f t="shared" si="5"/>
        <v>0</v>
      </c>
    </row>
    <row r="72" spans="1:19" ht="15">
      <c r="A72" s="9">
        <f t="shared" si="3"/>
        <v>12</v>
      </c>
      <c r="B72" s="3">
        <v>1990</v>
      </c>
      <c r="C72" s="3">
        <v>1</v>
      </c>
      <c r="D72" s="3" t="s">
        <v>16</v>
      </c>
      <c r="F72" s="10">
        <v>0</v>
      </c>
      <c r="H72" s="4">
        <v>0</v>
      </c>
      <c r="I72" s="4">
        <v>0</v>
      </c>
      <c r="J72" s="4">
        <v>0</v>
      </c>
      <c r="K72" s="5">
        <v>0</v>
      </c>
      <c r="L72" s="5">
        <v>0</v>
      </c>
      <c r="M72" s="5">
        <v>0</v>
      </c>
      <c r="Q72" s="6">
        <v>0</v>
      </c>
      <c r="R72">
        <f t="shared" si="4"/>
        <v>0</v>
      </c>
      <c r="S72">
        <f t="shared" si="5"/>
        <v>0</v>
      </c>
    </row>
    <row r="73" spans="1:19" ht="15">
      <c r="A73" s="9">
        <f t="shared" si="3"/>
        <v>12</v>
      </c>
      <c r="B73" s="3">
        <v>451</v>
      </c>
      <c r="C73" s="3">
        <v>1</v>
      </c>
      <c r="D73" s="3" t="s">
        <v>17</v>
      </c>
      <c r="F73" s="10">
        <v>0</v>
      </c>
      <c r="H73" s="4">
        <v>0</v>
      </c>
      <c r="I73" s="4">
        <v>0</v>
      </c>
      <c r="J73" s="4">
        <v>0</v>
      </c>
      <c r="K73" s="5">
        <v>3</v>
      </c>
      <c r="L73" s="5">
        <v>4</v>
      </c>
      <c r="M73" s="5">
        <v>0</v>
      </c>
      <c r="Q73" s="6">
        <v>0</v>
      </c>
      <c r="R73">
        <f t="shared" si="4"/>
        <v>4</v>
      </c>
      <c r="S73">
        <f t="shared" si="5"/>
        <v>0</v>
      </c>
    </row>
    <row r="74" spans="1:19" ht="15">
      <c r="A74" s="9">
        <f t="shared" si="3"/>
        <v>12</v>
      </c>
      <c r="B74" s="3">
        <v>1038</v>
      </c>
      <c r="C74" s="3">
        <v>1</v>
      </c>
      <c r="D74" s="3" t="s">
        <v>17</v>
      </c>
      <c r="F74" s="10">
        <v>0</v>
      </c>
      <c r="H74" s="4">
        <v>0</v>
      </c>
      <c r="I74" s="4">
        <v>0</v>
      </c>
      <c r="J74" s="4">
        <v>0</v>
      </c>
      <c r="K74" s="5">
        <v>1</v>
      </c>
      <c r="L74" s="5">
        <v>0</v>
      </c>
      <c r="M74" s="5">
        <v>0</v>
      </c>
      <c r="Q74" s="6">
        <v>0</v>
      </c>
      <c r="R74">
        <f t="shared" si="4"/>
        <v>0</v>
      </c>
      <c r="S74">
        <f t="shared" si="5"/>
        <v>0</v>
      </c>
    </row>
    <row r="75" spans="1:19" ht="15">
      <c r="A75" s="9">
        <f t="shared" si="3"/>
        <v>12</v>
      </c>
      <c r="B75" s="3">
        <v>1114</v>
      </c>
      <c r="C75" s="3">
        <v>1</v>
      </c>
      <c r="D75" s="3" t="s">
        <v>17</v>
      </c>
      <c r="F75" s="10">
        <v>0</v>
      </c>
      <c r="H75" s="4">
        <v>3</v>
      </c>
      <c r="I75" s="4">
        <v>2</v>
      </c>
      <c r="J75" s="4">
        <v>1</v>
      </c>
      <c r="K75" s="5">
        <v>3</v>
      </c>
      <c r="L75" s="5">
        <v>4</v>
      </c>
      <c r="M75" s="5">
        <v>5</v>
      </c>
      <c r="Q75" s="6">
        <v>0</v>
      </c>
      <c r="R75">
        <f t="shared" si="4"/>
        <v>5</v>
      </c>
      <c r="S75">
        <f t="shared" si="5"/>
        <v>7</v>
      </c>
    </row>
    <row r="76" spans="1:19" ht="15">
      <c r="A76" s="9">
        <f t="shared" si="3"/>
        <v>13</v>
      </c>
      <c r="B76" s="3">
        <v>117</v>
      </c>
      <c r="C76" s="3">
        <v>1</v>
      </c>
      <c r="D76" s="3" t="s">
        <v>16</v>
      </c>
      <c r="F76" s="10">
        <v>0</v>
      </c>
      <c r="H76" s="4">
        <v>0</v>
      </c>
      <c r="I76" s="4">
        <v>0</v>
      </c>
      <c r="J76" s="4">
        <v>0</v>
      </c>
      <c r="K76" s="5">
        <v>0</v>
      </c>
      <c r="L76" s="5">
        <v>0</v>
      </c>
      <c r="M76" s="5">
        <v>0</v>
      </c>
      <c r="Q76" s="6">
        <v>0</v>
      </c>
      <c r="R76">
        <f t="shared" si="4"/>
        <v>0</v>
      </c>
      <c r="S76">
        <f t="shared" si="5"/>
        <v>0</v>
      </c>
    </row>
    <row r="77" spans="1:19" ht="15">
      <c r="A77" s="9">
        <f t="shared" si="3"/>
        <v>13</v>
      </c>
      <c r="B77" s="3">
        <v>1743</v>
      </c>
      <c r="C77" s="3">
        <v>1</v>
      </c>
      <c r="D77" s="3" t="s">
        <v>16</v>
      </c>
      <c r="F77" s="10">
        <v>0</v>
      </c>
      <c r="H77" s="4">
        <v>0</v>
      </c>
      <c r="I77" s="4">
        <v>0</v>
      </c>
      <c r="J77" s="4">
        <v>0</v>
      </c>
      <c r="K77" s="5">
        <v>3</v>
      </c>
      <c r="L77" s="5">
        <v>0</v>
      </c>
      <c r="M77" s="5">
        <v>2</v>
      </c>
      <c r="Q77" s="6">
        <v>0</v>
      </c>
      <c r="R77">
        <f t="shared" si="4"/>
        <v>0</v>
      </c>
      <c r="S77">
        <f t="shared" si="5"/>
        <v>2</v>
      </c>
    </row>
    <row r="78" spans="1:19" ht="15">
      <c r="A78" s="9">
        <f t="shared" si="3"/>
        <v>13</v>
      </c>
      <c r="B78" s="3">
        <v>337</v>
      </c>
      <c r="C78" s="3">
        <v>1</v>
      </c>
      <c r="D78" s="3" t="s">
        <v>16</v>
      </c>
      <c r="F78" s="10">
        <v>0</v>
      </c>
      <c r="H78" s="4">
        <v>0</v>
      </c>
      <c r="I78" s="4">
        <v>0</v>
      </c>
      <c r="J78" s="4">
        <v>0</v>
      </c>
      <c r="K78" s="5">
        <v>1</v>
      </c>
      <c r="L78" s="5">
        <v>1</v>
      </c>
      <c r="M78" s="5">
        <v>1</v>
      </c>
      <c r="Q78" s="6">
        <v>0</v>
      </c>
      <c r="R78">
        <f t="shared" si="4"/>
        <v>1</v>
      </c>
      <c r="S78">
        <f t="shared" si="5"/>
        <v>1</v>
      </c>
    </row>
    <row r="79" spans="1:19" ht="15">
      <c r="A79" s="9">
        <f t="shared" si="3"/>
        <v>13</v>
      </c>
      <c r="B79" s="3">
        <v>2603</v>
      </c>
      <c r="C79" s="3">
        <v>1</v>
      </c>
      <c r="D79" s="3" t="s">
        <v>17</v>
      </c>
      <c r="F79" s="10">
        <v>0</v>
      </c>
      <c r="H79" s="4">
        <v>0</v>
      </c>
      <c r="I79" s="4">
        <v>0</v>
      </c>
      <c r="J79" s="4">
        <v>0</v>
      </c>
      <c r="K79" s="5">
        <v>3</v>
      </c>
      <c r="L79" s="5">
        <v>0</v>
      </c>
      <c r="M79" s="5">
        <v>0</v>
      </c>
      <c r="Q79" s="6">
        <v>0</v>
      </c>
      <c r="R79">
        <f t="shared" si="4"/>
        <v>0</v>
      </c>
      <c r="S79">
        <f t="shared" si="5"/>
        <v>0</v>
      </c>
    </row>
    <row r="80" spans="1:19" ht="15">
      <c r="A80" s="9">
        <f t="shared" si="3"/>
        <v>13</v>
      </c>
      <c r="B80" s="3">
        <v>3193</v>
      </c>
      <c r="C80" s="3">
        <v>1</v>
      </c>
      <c r="D80" s="3" t="s">
        <v>17</v>
      </c>
      <c r="F80" s="10">
        <v>0</v>
      </c>
      <c r="H80" s="4">
        <v>0</v>
      </c>
      <c r="I80" s="4">
        <v>0</v>
      </c>
      <c r="J80" s="4">
        <v>0</v>
      </c>
      <c r="K80" s="5">
        <v>4</v>
      </c>
      <c r="L80" s="5">
        <v>0</v>
      </c>
      <c r="M80" s="5">
        <v>2</v>
      </c>
      <c r="Q80" s="6">
        <v>1</v>
      </c>
      <c r="R80">
        <f t="shared" si="4"/>
        <v>-1</v>
      </c>
      <c r="S80">
        <f t="shared" si="5"/>
        <v>2</v>
      </c>
    </row>
    <row r="81" spans="1:19" ht="15">
      <c r="A81" s="9">
        <f t="shared" si="3"/>
        <v>13</v>
      </c>
      <c r="B81" s="3">
        <v>3062</v>
      </c>
      <c r="C81" s="3">
        <v>1</v>
      </c>
      <c r="D81" s="3" t="s">
        <v>17</v>
      </c>
      <c r="F81" s="10">
        <v>0</v>
      </c>
      <c r="H81" s="4">
        <v>0</v>
      </c>
      <c r="I81" s="4">
        <v>0</v>
      </c>
      <c r="J81" s="4">
        <v>0</v>
      </c>
      <c r="K81" s="5">
        <v>1</v>
      </c>
      <c r="L81" s="5">
        <v>0</v>
      </c>
      <c r="M81" s="5">
        <v>1</v>
      </c>
      <c r="Q81" s="6">
        <v>0</v>
      </c>
      <c r="R81">
        <f t="shared" si="4"/>
        <v>0</v>
      </c>
      <c r="S81">
        <f t="shared" si="5"/>
        <v>1</v>
      </c>
    </row>
    <row r="82" spans="1:19" ht="15">
      <c r="A82" s="9">
        <f t="shared" si="3"/>
        <v>14</v>
      </c>
      <c r="B82" s="3">
        <v>1279</v>
      </c>
      <c r="C82" s="3">
        <v>1</v>
      </c>
      <c r="D82" s="3" t="s">
        <v>16</v>
      </c>
      <c r="F82" s="10">
        <v>0</v>
      </c>
      <c r="H82" s="4">
        <v>3</v>
      </c>
      <c r="I82" s="4">
        <v>2</v>
      </c>
      <c r="J82" s="4">
        <v>1</v>
      </c>
      <c r="K82" s="5">
        <v>2</v>
      </c>
      <c r="L82" s="5">
        <v>0</v>
      </c>
      <c r="M82" s="5">
        <v>2</v>
      </c>
      <c r="Q82" s="6">
        <v>0</v>
      </c>
      <c r="R82">
        <f t="shared" si="4"/>
        <v>1</v>
      </c>
      <c r="S82">
        <f t="shared" si="5"/>
        <v>4</v>
      </c>
    </row>
    <row r="83" spans="1:19" ht="15">
      <c r="A83" s="9">
        <f t="shared" si="3"/>
        <v>14</v>
      </c>
      <c r="B83" s="3">
        <v>2614</v>
      </c>
      <c r="C83" s="3">
        <v>1</v>
      </c>
      <c r="D83" s="3" t="s">
        <v>16</v>
      </c>
      <c r="F83" s="10">
        <v>0</v>
      </c>
      <c r="H83" s="4">
        <v>2</v>
      </c>
      <c r="I83" s="4">
        <v>0</v>
      </c>
      <c r="J83" s="4">
        <v>2</v>
      </c>
      <c r="K83" s="5">
        <v>0</v>
      </c>
      <c r="L83" s="5">
        <v>1</v>
      </c>
      <c r="M83" s="5">
        <v>2</v>
      </c>
      <c r="Q83" s="6">
        <v>0</v>
      </c>
      <c r="R83">
        <f t="shared" si="4"/>
        <v>3</v>
      </c>
      <c r="S83">
        <f t="shared" si="5"/>
        <v>2</v>
      </c>
    </row>
    <row r="84" spans="1:19" ht="15">
      <c r="A84" s="9">
        <f t="shared" si="3"/>
        <v>14</v>
      </c>
      <c r="B84" s="3">
        <v>433</v>
      </c>
      <c r="C84" s="3">
        <v>1</v>
      </c>
      <c r="D84" s="3" t="s">
        <v>16</v>
      </c>
      <c r="F84" s="10">
        <v>0</v>
      </c>
      <c r="H84" s="4">
        <v>1</v>
      </c>
      <c r="I84" s="4">
        <v>0</v>
      </c>
      <c r="J84" s="4">
        <v>1</v>
      </c>
      <c r="K84" s="5">
        <v>0</v>
      </c>
      <c r="L84" s="5">
        <v>0</v>
      </c>
      <c r="M84" s="5">
        <v>0</v>
      </c>
      <c r="Q84" s="6">
        <v>0</v>
      </c>
      <c r="R84">
        <f t="shared" si="4"/>
        <v>1</v>
      </c>
      <c r="S84">
        <f t="shared" si="5"/>
        <v>0</v>
      </c>
    </row>
    <row r="85" spans="1:19" ht="15">
      <c r="A85" s="9">
        <f t="shared" si="3"/>
        <v>14</v>
      </c>
      <c r="B85" s="3">
        <v>3138</v>
      </c>
      <c r="C85" s="3">
        <v>1</v>
      </c>
      <c r="D85" s="3" t="s">
        <v>17</v>
      </c>
      <c r="F85" s="10">
        <v>0</v>
      </c>
      <c r="H85" s="4">
        <v>1</v>
      </c>
      <c r="I85" s="4">
        <v>1</v>
      </c>
      <c r="J85" s="4">
        <v>0</v>
      </c>
      <c r="K85" s="5">
        <v>1</v>
      </c>
      <c r="L85" s="5">
        <v>0</v>
      </c>
      <c r="M85" s="5">
        <v>7</v>
      </c>
      <c r="Q85" s="6">
        <v>1</v>
      </c>
      <c r="R85">
        <f t="shared" si="4"/>
        <v>-1</v>
      </c>
      <c r="S85">
        <f t="shared" si="5"/>
        <v>8</v>
      </c>
    </row>
    <row r="86" spans="1:19" ht="15">
      <c r="A86" s="9">
        <f t="shared" si="3"/>
        <v>14</v>
      </c>
      <c r="B86" s="3">
        <v>2618</v>
      </c>
      <c r="C86" s="3">
        <v>1</v>
      </c>
      <c r="D86" s="3" t="s">
        <v>17</v>
      </c>
      <c r="F86" s="10">
        <v>0</v>
      </c>
      <c r="H86" s="4">
        <v>0</v>
      </c>
      <c r="I86" s="4">
        <v>0</v>
      </c>
      <c r="J86" s="4">
        <v>0</v>
      </c>
      <c r="K86" s="5">
        <v>0</v>
      </c>
      <c r="L86" s="5">
        <v>0</v>
      </c>
      <c r="M86" s="5">
        <v>0</v>
      </c>
      <c r="Q86" s="6">
        <v>0</v>
      </c>
      <c r="R86">
        <f t="shared" si="4"/>
        <v>0</v>
      </c>
      <c r="S86">
        <f t="shared" si="5"/>
        <v>0</v>
      </c>
    </row>
    <row r="87" spans="1:19" ht="15">
      <c r="A87" s="9">
        <f t="shared" si="3"/>
        <v>14</v>
      </c>
      <c r="B87" s="3">
        <v>63</v>
      </c>
      <c r="C87" s="3">
        <v>1</v>
      </c>
      <c r="D87" s="3" t="s">
        <v>17</v>
      </c>
      <c r="F87" s="10">
        <v>0</v>
      </c>
      <c r="H87" s="4">
        <v>1</v>
      </c>
      <c r="I87" s="4">
        <v>0</v>
      </c>
      <c r="J87" s="4">
        <v>0</v>
      </c>
      <c r="K87" s="5">
        <v>1</v>
      </c>
      <c r="L87" s="5">
        <v>4</v>
      </c>
      <c r="M87" s="5">
        <v>1</v>
      </c>
      <c r="Q87" s="6">
        <v>0</v>
      </c>
      <c r="R87">
        <f t="shared" si="4"/>
        <v>4</v>
      </c>
      <c r="S87">
        <f t="shared" si="5"/>
        <v>1</v>
      </c>
    </row>
    <row r="88" spans="1:19" ht="15">
      <c r="A88" s="9">
        <f t="shared" si="3"/>
        <v>15</v>
      </c>
      <c r="B88" s="3">
        <v>306</v>
      </c>
      <c r="C88" s="3">
        <v>1</v>
      </c>
      <c r="D88" s="3" t="s">
        <v>16</v>
      </c>
      <c r="F88" s="10">
        <v>0</v>
      </c>
      <c r="H88" s="4">
        <v>0</v>
      </c>
      <c r="I88" s="4">
        <v>0</v>
      </c>
      <c r="J88" s="4">
        <v>0</v>
      </c>
      <c r="K88" s="5">
        <v>0</v>
      </c>
      <c r="L88" s="5">
        <v>0</v>
      </c>
      <c r="M88" s="5">
        <v>0</v>
      </c>
      <c r="Q88" s="6">
        <v>0</v>
      </c>
      <c r="R88">
        <f t="shared" si="4"/>
        <v>0</v>
      </c>
      <c r="S88">
        <f t="shared" si="5"/>
        <v>0</v>
      </c>
    </row>
    <row r="89" spans="1:19" ht="15">
      <c r="A89" s="9">
        <f t="shared" si="3"/>
        <v>15</v>
      </c>
      <c r="B89" s="3">
        <v>3260</v>
      </c>
      <c r="C89" s="3">
        <v>1</v>
      </c>
      <c r="D89" s="3" t="s">
        <v>16</v>
      </c>
      <c r="F89" s="10">
        <v>0</v>
      </c>
      <c r="H89" s="4">
        <v>0</v>
      </c>
      <c r="I89" s="4">
        <v>0</v>
      </c>
      <c r="J89" s="4">
        <v>0</v>
      </c>
      <c r="K89" s="5">
        <v>0</v>
      </c>
      <c r="L89" s="5">
        <v>0</v>
      </c>
      <c r="M89" s="5">
        <v>0</v>
      </c>
      <c r="Q89" s="6">
        <v>1</v>
      </c>
      <c r="R89">
        <f t="shared" si="4"/>
        <v>-1</v>
      </c>
      <c r="S89">
        <f t="shared" si="5"/>
        <v>0</v>
      </c>
    </row>
    <row r="90" spans="1:19" ht="15">
      <c r="A90" s="9">
        <f t="shared" si="3"/>
        <v>15</v>
      </c>
      <c r="B90" s="3">
        <v>1249</v>
      </c>
      <c r="C90" s="3">
        <v>1</v>
      </c>
      <c r="D90" s="3" t="s">
        <v>16</v>
      </c>
      <c r="F90" s="10">
        <v>0</v>
      </c>
      <c r="H90" s="4">
        <v>0</v>
      </c>
      <c r="I90" s="4">
        <v>0</v>
      </c>
      <c r="J90" s="4">
        <v>0</v>
      </c>
      <c r="K90" s="5">
        <v>2</v>
      </c>
      <c r="L90" s="5">
        <v>1</v>
      </c>
      <c r="M90" s="5">
        <v>0</v>
      </c>
      <c r="Q90" s="6">
        <v>0</v>
      </c>
      <c r="R90">
        <f t="shared" si="4"/>
        <v>1</v>
      </c>
      <c r="S90">
        <f t="shared" si="5"/>
        <v>0</v>
      </c>
    </row>
    <row r="91" spans="1:19" ht="15">
      <c r="A91" s="9">
        <f t="shared" si="3"/>
        <v>15</v>
      </c>
      <c r="B91" s="3">
        <v>128</v>
      </c>
      <c r="C91" s="3">
        <v>1</v>
      </c>
      <c r="D91" s="3" t="s">
        <v>17</v>
      </c>
      <c r="F91" s="10">
        <v>0</v>
      </c>
      <c r="H91" s="4">
        <v>0</v>
      </c>
      <c r="I91" s="4">
        <v>0</v>
      </c>
      <c r="J91" s="4">
        <v>0</v>
      </c>
      <c r="K91" s="5">
        <v>1</v>
      </c>
      <c r="L91" s="5">
        <v>0</v>
      </c>
      <c r="M91" s="5">
        <v>0</v>
      </c>
      <c r="Q91" s="6">
        <v>1</v>
      </c>
      <c r="R91">
        <f t="shared" si="4"/>
        <v>-1</v>
      </c>
      <c r="S91">
        <f t="shared" si="5"/>
        <v>0</v>
      </c>
    </row>
    <row r="92" spans="1:19" ht="15">
      <c r="A92" s="9">
        <f t="shared" si="3"/>
        <v>15</v>
      </c>
      <c r="B92" s="3">
        <v>2809</v>
      </c>
      <c r="C92" s="3">
        <v>1</v>
      </c>
      <c r="D92" s="3" t="s">
        <v>17</v>
      </c>
      <c r="E92" s="3" t="s">
        <v>40</v>
      </c>
      <c r="F92" s="10">
        <v>0</v>
      </c>
      <c r="H92" s="4">
        <v>0</v>
      </c>
      <c r="I92" s="4">
        <v>0</v>
      </c>
      <c r="J92" s="4">
        <v>0</v>
      </c>
      <c r="K92" s="5">
        <v>7</v>
      </c>
      <c r="L92" s="5">
        <v>6</v>
      </c>
      <c r="M92" s="5">
        <v>0</v>
      </c>
      <c r="Q92" s="6">
        <v>0</v>
      </c>
      <c r="R92">
        <f t="shared" si="4"/>
        <v>6</v>
      </c>
      <c r="S92">
        <f t="shared" si="5"/>
        <v>0</v>
      </c>
    </row>
    <row r="93" spans="1:19" ht="15">
      <c r="A93" s="9">
        <f t="shared" si="3"/>
        <v>15</v>
      </c>
      <c r="B93" s="3">
        <v>2051</v>
      </c>
      <c r="C93" s="3">
        <v>1</v>
      </c>
      <c r="D93" s="3" t="s">
        <v>17</v>
      </c>
      <c r="F93" s="10">
        <v>0</v>
      </c>
      <c r="H93" s="4">
        <v>0</v>
      </c>
      <c r="I93" s="4">
        <v>0</v>
      </c>
      <c r="J93" s="4">
        <v>0</v>
      </c>
      <c r="K93" s="5">
        <v>3</v>
      </c>
      <c r="L93" s="5">
        <v>0</v>
      </c>
      <c r="M93" s="5">
        <v>3</v>
      </c>
      <c r="Q93" s="6">
        <v>0</v>
      </c>
      <c r="R93">
        <f t="shared" si="4"/>
        <v>0</v>
      </c>
      <c r="S93">
        <f t="shared" si="5"/>
        <v>3</v>
      </c>
    </row>
    <row r="94" spans="1:19" ht="15">
      <c r="A94" s="9">
        <f t="shared" si="3"/>
        <v>16</v>
      </c>
      <c r="B94" s="3">
        <v>2544</v>
      </c>
      <c r="C94" s="3">
        <v>1</v>
      </c>
      <c r="D94" s="3" t="s">
        <v>16</v>
      </c>
      <c r="F94" s="10">
        <v>0</v>
      </c>
      <c r="H94" s="4">
        <v>0</v>
      </c>
      <c r="I94" s="4">
        <v>0</v>
      </c>
      <c r="J94" s="4">
        <v>0</v>
      </c>
      <c r="K94" s="5">
        <v>3</v>
      </c>
      <c r="L94" s="5">
        <v>1</v>
      </c>
      <c r="M94" s="5">
        <v>0</v>
      </c>
      <c r="Q94" s="6">
        <v>3</v>
      </c>
      <c r="R94">
        <f t="shared" si="4"/>
        <v>-2</v>
      </c>
      <c r="S94">
        <f t="shared" si="5"/>
        <v>0</v>
      </c>
    </row>
    <row r="95" spans="1:19" ht="15">
      <c r="A95" s="9">
        <f t="shared" si="3"/>
        <v>16</v>
      </c>
      <c r="B95" s="3">
        <v>3138</v>
      </c>
      <c r="C95" s="3">
        <v>1</v>
      </c>
      <c r="D95" s="3" t="s">
        <v>16</v>
      </c>
      <c r="F95" s="10">
        <v>0</v>
      </c>
      <c r="H95" s="4">
        <v>1</v>
      </c>
      <c r="I95" s="4">
        <v>0</v>
      </c>
      <c r="J95" s="4">
        <v>1</v>
      </c>
      <c r="K95" s="5">
        <v>0</v>
      </c>
      <c r="L95" s="5">
        <v>2</v>
      </c>
      <c r="M95" s="5">
        <v>4</v>
      </c>
      <c r="Q95" s="6">
        <v>1</v>
      </c>
      <c r="R95">
        <f t="shared" si="4"/>
        <v>2</v>
      </c>
      <c r="S95">
        <f t="shared" si="5"/>
        <v>4</v>
      </c>
    </row>
    <row r="96" spans="1:19" ht="15">
      <c r="A96" s="9">
        <f t="shared" si="3"/>
        <v>16</v>
      </c>
      <c r="B96" s="3">
        <v>2641</v>
      </c>
      <c r="C96" s="3">
        <v>1</v>
      </c>
      <c r="D96" s="3" t="s">
        <v>16</v>
      </c>
      <c r="F96" s="10">
        <v>0</v>
      </c>
      <c r="H96" s="4">
        <v>0</v>
      </c>
      <c r="I96" s="4">
        <v>0</v>
      </c>
      <c r="J96" s="4">
        <v>0</v>
      </c>
      <c r="K96" s="5">
        <v>0</v>
      </c>
      <c r="L96" s="5">
        <v>0</v>
      </c>
      <c r="M96" s="5">
        <v>0</v>
      </c>
      <c r="Q96" s="6">
        <v>1</v>
      </c>
      <c r="R96">
        <f t="shared" si="4"/>
        <v>-1</v>
      </c>
      <c r="S96">
        <f t="shared" si="5"/>
        <v>0</v>
      </c>
    </row>
    <row r="97" spans="1:19" ht="15">
      <c r="A97" s="9">
        <f t="shared" si="3"/>
        <v>16</v>
      </c>
      <c r="B97" s="3">
        <v>2279</v>
      </c>
      <c r="C97" s="3">
        <v>1</v>
      </c>
      <c r="D97" s="3" t="s">
        <v>17</v>
      </c>
      <c r="F97" s="10">
        <v>0</v>
      </c>
      <c r="H97" s="4">
        <v>0</v>
      </c>
      <c r="I97" s="4">
        <v>0</v>
      </c>
      <c r="J97" s="4">
        <v>0</v>
      </c>
      <c r="K97" s="5">
        <v>0</v>
      </c>
      <c r="L97" s="5">
        <v>0</v>
      </c>
      <c r="M97" s="5">
        <v>0</v>
      </c>
      <c r="Q97" s="6">
        <v>0</v>
      </c>
      <c r="R97">
        <f t="shared" si="4"/>
        <v>0</v>
      </c>
      <c r="S97">
        <f t="shared" si="5"/>
        <v>0</v>
      </c>
    </row>
    <row r="98" spans="1:19" ht="15">
      <c r="A98" s="9">
        <f t="shared" si="3"/>
        <v>16</v>
      </c>
      <c r="B98" s="3">
        <v>2656</v>
      </c>
      <c r="C98" s="3">
        <v>1</v>
      </c>
      <c r="D98" s="3" t="s">
        <v>17</v>
      </c>
      <c r="F98" s="10">
        <v>0</v>
      </c>
      <c r="H98" s="4">
        <v>0</v>
      </c>
      <c r="I98" s="4">
        <v>0</v>
      </c>
      <c r="J98" s="4">
        <v>0</v>
      </c>
      <c r="K98" s="5">
        <v>1</v>
      </c>
      <c r="L98" s="5">
        <v>0</v>
      </c>
      <c r="M98" s="5">
        <v>0</v>
      </c>
      <c r="Q98" s="6">
        <v>1</v>
      </c>
      <c r="R98">
        <f t="shared" si="4"/>
        <v>-1</v>
      </c>
      <c r="S98">
        <f t="shared" si="5"/>
        <v>0</v>
      </c>
    </row>
    <row r="99" spans="1:19" ht="15">
      <c r="A99" s="9">
        <f aca="true" t="shared" si="6" ref="A99:A162">A93+1</f>
        <v>16</v>
      </c>
      <c r="B99" s="3">
        <v>1990</v>
      </c>
      <c r="C99" s="3">
        <v>1</v>
      </c>
      <c r="D99" s="3" t="s">
        <v>17</v>
      </c>
      <c r="F99" s="10">
        <v>0</v>
      </c>
      <c r="H99" s="4">
        <v>1</v>
      </c>
      <c r="I99" s="4">
        <v>0</v>
      </c>
      <c r="J99" s="4">
        <v>0</v>
      </c>
      <c r="K99" s="5">
        <v>2</v>
      </c>
      <c r="L99" s="5">
        <v>1</v>
      </c>
      <c r="M99" s="5">
        <v>0</v>
      </c>
      <c r="Q99" s="6">
        <v>0</v>
      </c>
      <c r="R99">
        <f aca="true" t="shared" si="7" ref="R99:R162">J99+L99+P99-Q99</f>
        <v>1</v>
      </c>
      <c r="S99">
        <f t="shared" si="5"/>
        <v>0</v>
      </c>
    </row>
    <row r="100" spans="1:19" ht="15">
      <c r="A100" s="9">
        <f t="shared" si="6"/>
        <v>17</v>
      </c>
      <c r="B100" s="3">
        <v>3260</v>
      </c>
      <c r="C100" s="3">
        <v>1</v>
      </c>
      <c r="D100" s="3" t="s">
        <v>16</v>
      </c>
      <c r="F100" s="10">
        <v>0</v>
      </c>
      <c r="H100" s="4">
        <v>0</v>
      </c>
      <c r="I100" s="4">
        <v>0</v>
      </c>
      <c r="J100" s="4">
        <v>0</v>
      </c>
      <c r="K100" s="5">
        <v>0</v>
      </c>
      <c r="L100" s="5">
        <v>0</v>
      </c>
      <c r="M100" s="5">
        <v>0</v>
      </c>
      <c r="Q100" s="6">
        <v>0</v>
      </c>
      <c r="R100">
        <f t="shared" si="7"/>
        <v>0</v>
      </c>
      <c r="S100">
        <f t="shared" si="5"/>
        <v>0</v>
      </c>
    </row>
    <row r="101" spans="1:19" ht="15">
      <c r="A101" s="9">
        <f t="shared" si="6"/>
        <v>17</v>
      </c>
      <c r="B101" s="3">
        <v>1279</v>
      </c>
      <c r="C101" s="3">
        <v>1</v>
      </c>
      <c r="D101" s="3" t="s">
        <v>16</v>
      </c>
      <c r="F101" s="10">
        <v>0</v>
      </c>
      <c r="H101" s="4">
        <v>3</v>
      </c>
      <c r="I101" s="4">
        <v>3</v>
      </c>
      <c r="J101" s="4">
        <v>0</v>
      </c>
      <c r="K101" s="5">
        <v>3</v>
      </c>
      <c r="L101" s="5">
        <v>1</v>
      </c>
      <c r="M101" s="5">
        <v>1</v>
      </c>
      <c r="Q101" s="6">
        <v>0</v>
      </c>
      <c r="R101">
        <f t="shared" si="7"/>
        <v>1</v>
      </c>
      <c r="S101">
        <f t="shared" si="5"/>
        <v>4</v>
      </c>
    </row>
    <row r="102" spans="1:19" ht="15">
      <c r="A102" s="9">
        <f t="shared" si="6"/>
        <v>17</v>
      </c>
      <c r="B102" s="3">
        <v>2618</v>
      </c>
      <c r="C102" s="3">
        <v>1</v>
      </c>
      <c r="D102" s="3" t="s">
        <v>16</v>
      </c>
      <c r="F102" s="10">
        <v>0</v>
      </c>
      <c r="H102" s="4">
        <v>0</v>
      </c>
      <c r="I102" s="4">
        <v>0</v>
      </c>
      <c r="J102" s="4">
        <v>0</v>
      </c>
      <c r="K102" s="5">
        <v>0</v>
      </c>
      <c r="L102" s="5">
        <v>0</v>
      </c>
      <c r="M102" s="5">
        <v>0</v>
      </c>
      <c r="Q102" s="6">
        <v>0</v>
      </c>
      <c r="R102">
        <f t="shared" si="7"/>
        <v>0</v>
      </c>
      <c r="S102">
        <f t="shared" si="5"/>
        <v>0</v>
      </c>
    </row>
    <row r="103" spans="1:19" ht="15">
      <c r="A103" s="9">
        <f t="shared" si="6"/>
        <v>17</v>
      </c>
      <c r="B103" s="3">
        <v>2809</v>
      </c>
      <c r="C103" s="3">
        <v>1</v>
      </c>
      <c r="D103" s="3" t="s">
        <v>17</v>
      </c>
      <c r="E103" s="3" t="s">
        <v>40</v>
      </c>
      <c r="F103" s="10">
        <v>0</v>
      </c>
      <c r="H103" s="4">
        <v>1</v>
      </c>
      <c r="I103" s="4">
        <v>0</v>
      </c>
      <c r="J103" s="4">
        <v>0</v>
      </c>
      <c r="K103" s="5">
        <v>2</v>
      </c>
      <c r="L103" s="5">
        <v>3</v>
      </c>
      <c r="M103" s="5">
        <v>2</v>
      </c>
      <c r="Q103" s="6">
        <v>0</v>
      </c>
      <c r="R103">
        <f t="shared" si="7"/>
        <v>3</v>
      </c>
      <c r="S103">
        <f t="shared" si="5"/>
        <v>2</v>
      </c>
    </row>
    <row r="104" spans="1:19" ht="15">
      <c r="A104" s="9">
        <f t="shared" si="6"/>
        <v>17</v>
      </c>
      <c r="B104" s="3">
        <v>306</v>
      </c>
      <c r="C104" s="3">
        <v>1</v>
      </c>
      <c r="D104" s="3" t="s">
        <v>17</v>
      </c>
      <c r="F104" s="10">
        <v>0</v>
      </c>
      <c r="H104" s="4">
        <v>0</v>
      </c>
      <c r="I104" s="4">
        <v>0</v>
      </c>
      <c r="J104" s="4">
        <v>0</v>
      </c>
      <c r="K104" s="5">
        <v>0</v>
      </c>
      <c r="L104" s="5">
        <v>0</v>
      </c>
      <c r="M104" s="5">
        <v>1</v>
      </c>
      <c r="Q104" s="6">
        <v>0</v>
      </c>
      <c r="R104">
        <f t="shared" si="7"/>
        <v>0</v>
      </c>
      <c r="S104">
        <f t="shared" si="5"/>
        <v>1</v>
      </c>
    </row>
    <row r="105" spans="1:19" ht="15">
      <c r="A105" s="9">
        <f t="shared" si="6"/>
        <v>17</v>
      </c>
      <c r="B105" s="3">
        <v>1708</v>
      </c>
      <c r="C105" s="3">
        <v>1</v>
      </c>
      <c r="D105" s="3" t="s">
        <v>17</v>
      </c>
      <c r="F105" s="10">
        <v>0</v>
      </c>
      <c r="H105" s="4">
        <v>0</v>
      </c>
      <c r="I105" s="4">
        <v>0</v>
      </c>
      <c r="J105" s="4">
        <v>0</v>
      </c>
      <c r="K105" s="5">
        <v>0</v>
      </c>
      <c r="L105" s="5">
        <v>0</v>
      </c>
      <c r="M105" s="5">
        <v>0</v>
      </c>
      <c r="Q105" s="6">
        <v>0</v>
      </c>
      <c r="R105">
        <f t="shared" si="7"/>
        <v>0</v>
      </c>
      <c r="S105">
        <f t="shared" si="5"/>
        <v>0</v>
      </c>
    </row>
    <row r="106" spans="1:19" ht="15">
      <c r="A106" s="9">
        <f t="shared" si="6"/>
        <v>18</v>
      </c>
      <c r="B106" s="3">
        <v>2544</v>
      </c>
      <c r="C106" s="3">
        <v>1</v>
      </c>
      <c r="D106" s="3" t="s">
        <v>16</v>
      </c>
      <c r="F106" s="10">
        <v>0</v>
      </c>
      <c r="H106" s="4">
        <v>0</v>
      </c>
      <c r="I106" s="4">
        <v>0</v>
      </c>
      <c r="J106" s="4">
        <v>0</v>
      </c>
      <c r="K106" s="5">
        <v>1</v>
      </c>
      <c r="L106" s="5">
        <v>1</v>
      </c>
      <c r="M106" s="5">
        <v>0</v>
      </c>
      <c r="Q106" s="6">
        <v>0</v>
      </c>
      <c r="R106">
        <f t="shared" si="7"/>
        <v>1</v>
      </c>
      <c r="S106">
        <f t="shared" si="5"/>
        <v>0</v>
      </c>
    </row>
    <row r="107" spans="1:19" ht="15">
      <c r="A107" s="9">
        <f t="shared" si="6"/>
        <v>18</v>
      </c>
      <c r="B107" s="3">
        <v>451</v>
      </c>
      <c r="C107" s="3">
        <v>1</v>
      </c>
      <c r="D107" s="3" t="s">
        <v>16</v>
      </c>
      <c r="F107" s="10">
        <v>0</v>
      </c>
      <c r="H107" s="4">
        <v>0</v>
      </c>
      <c r="I107" s="4">
        <v>1</v>
      </c>
      <c r="J107" s="4">
        <v>0</v>
      </c>
      <c r="K107" s="5">
        <v>0</v>
      </c>
      <c r="L107" s="5">
        <v>2</v>
      </c>
      <c r="M107" s="5">
        <v>1</v>
      </c>
      <c r="Q107" s="6">
        <v>0</v>
      </c>
      <c r="R107">
        <f t="shared" si="7"/>
        <v>2</v>
      </c>
      <c r="S107">
        <f t="shared" si="5"/>
        <v>2</v>
      </c>
    </row>
    <row r="108" spans="1:19" ht="15">
      <c r="A108" s="9">
        <f t="shared" si="6"/>
        <v>18</v>
      </c>
      <c r="B108" s="3">
        <v>433</v>
      </c>
      <c r="C108" s="3">
        <v>1</v>
      </c>
      <c r="D108" s="3" t="s">
        <v>16</v>
      </c>
      <c r="F108" s="10">
        <v>0</v>
      </c>
      <c r="H108" s="4">
        <v>0</v>
      </c>
      <c r="I108" s="4">
        <v>0</v>
      </c>
      <c r="J108" s="4">
        <v>0</v>
      </c>
      <c r="K108" s="5">
        <v>1</v>
      </c>
      <c r="L108" s="5">
        <v>0</v>
      </c>
      <c r="M108" s="5">
        <v>1</v>
      </c>
      <c r="Q108" s="6">
        <v>0</v>
      </c>
      <c r="R108">
        <f t="shared" si="7"/>
        <v>0</v>
      </c>
      <c r="S108">
        <f t="shared" si="5"/>
        <v>1</v>
      </c>
    </row>
    <row r="109" spans="1:19" ht="15">
      <c r="A109" s="9">
        <f t="shared" si="6"/>
        <v>18</v>
      </c>
      <c r="B109" s="3">
        <v>2603</v>
      </c>
      <c r="C109" s="3">
        <v>1</v>
      </c>
      <c r="D109" s="3" t="s">
        <v>17</v>
      </c>
      <c r="F109" s="10">
        <v>0</v>
      </c>
      <c r="H109" s="4">
        <v>0</v>
      </c>
      <c r="I109" s="4">
        <v>0</v>
      </c>
      <c r="J109" s="4">
        <v>0</v>
      </c>
      <c r="K109" s="5">
        <v>0</v>
      </c>
      <c r="L109" s="5">
        <v>0</v>
      </c>
      <c r="M109" s="5">
        <v>2</v>
      </c>
      <c r="Q109" s="6">
        <v>2</v>
      </c>
      <c r="R109">
        <f t="shared" si="7"/>
        <v>-2</v>
      </c>
      <c r="S109">
        <f t="shared" si="5"/>
        <v>2</v>
      </c>
    </row>
    <row r="110" spans="1:19" ht="15">
      <c r="A110" s="9">
        <f t="shared" si="6"/>
        <v>18</v>
      </c>
      <c r="B110" s="3">
        <v>1317</v>
      </c>
      <c r="C110" s="3">
        <v>1</v>
      </c>
      <c r="D110" s="3" t="s">
        <v>17</v>
      </c>
      <c r="F110" s="10">
        <v>0</v>
      </c>
      <c r="H110" s="4">
        <v>0</v>
      </c>
      <c r="I110" s="4">
        <v>0</v>
      </c>
      <c r="J110" s="4">
        <v>0</v>
      </c>
      <c r="K110" s="5">
        <v>0</v>
      </c>
      <c r="L110" s="5">
        <v>1</v>
      </c>
      <c r="M110" s="5">
        <v>0</v>
      </c>
      <c r="Q110" s="6">
        <v>0</v>
      </c>
      <c r="R110">
        <f t="shared" si="7"/>
        <v>1</v>
      </c>
      <c r="S110">
        <f t="shared" si="5"/>
        <v>0</v>
      </c>
    </row>
    <row r="111" spans="1:19" ht="15">
      <c r="A111" s="9">
        <f t="shared" si="6"/>
        <v>18</v>
      </c>
      <c r="B111" s="3">
        <v>1249</v>
      </c>
      <c r="C111" s="3">
        <v>1</v>
      </c>
      <c r="D111" s="3" t="s">
        <v>17</v>
      </c>
      <c r="F111" s="10">
        <v>0</v>
      </c>
      <c r="H111" s="4">
        <v>0</v>
      </c>
      <c r="I111" s="4">
        <v>0</v>
      </c>
      <c r="J111" s="4">
        <v>0</v>
      </c>
      <c r="K111" s="5">
        <v>1</v>
      </c>
      <c r="L111" s="5">
        <v>0</v>
      </c>
      <c r="M111" s="5">
        <v>0</v>
      </c>
      <c r="Q111" s="6">
        <v>0</v>
      </c>
      <c r="R111">
        <f t="shared" si="7"/>
        <v>0</v>
      </c>
      <c r="S111">
        <f t="shared" si="5"/>
        <v>0</v>
      </c>
    </row>
    <row r="112" spans="1:19" ht="15">
      <c r="A112" s="9">
        <f t="shared" si="6"/>
        <v>19</v>
      </c>
      <c r="B112" s="3">
        <v>1038</v>
      </c>
      <c r="C112" s="3">
        <v>1</v>
      </c>
      <c r="D112" s="3" t="s">
        <v>16</v>
      </c>
      <c r="F112" s="10">
        <v>0</v>
      </c>
      <c r="H112" s="4">
        <v>0</v>
      </c>
      <c r="I112" s="4">
        <v>0</v>
      </c>
      <c r="J112" s="4">
        <v>0</v>
      </c>
      <c r="K112" s="5">
        <v>2</v>
      </c>
      <c r="L112" s="5">
        <v>3</v>
      </c>
      <c r="M112" s="5">
        <v>3</v>
      </c>
      <c r="Q112" s="6">
        <v>0</v>
      </c>
      <c r="R112">
        <f t="shared" si="7"/>
        <v>3</v>
      </c>
      <c r="S112">
        <f t="shared" si="5"/>
        <v>3</v>
      </c>
    </row>
    <row r="113" spans="1:19" ht="15">
      <c r="A113" s="9">
        <f t="shared" si="6"/>
        <v>19</v>
      </c>
      <c r="B113" s="3">
        <v>1743</v>
      </c>
      <c r="C113" s="3">
        <v>1</v>
      </c>
      <c r="D113" s="3" t="s">
        <v>16</v>
      </c>
      <c r="F113" s="10">
        <v>0</v>
      </c>
      <c r="H113" s="4">
        <v>0</v>
      </c>
      <c r="I113" s="4">
        <v>0</v>
      </c>
      <c r="J113" s="4">
        <v>0</v>
      </c>
      <c r="K113" s="5">
        <v>0</v>
      </c>
      <c r="L113" s="5">
        <v>0</v>
      </c>
      <c r="M113" s="5">
        <v>2</v>
      </c>
      <c r="Q113" s="6">
        <v>0</v>
      </c>
      <c r="R113">
        <f t="shared" si="7"/>
        <v>0</v>
      </c>
      <c r="S113">
        <f t="shared" si="5"/>
        <v>2</v>
      </c>
    </row>
    <row r="114" spans="1:19" ht="15">
      <c r="A114" s="9">
        <f t="shared" si="6"/>
        <v>19</v>
      </c>
      <c r="B114" s="3">
        <v>3062</v>
      </c>
      <c r="C114" s="3">
        <v>1</v>
      </c>
      <c r="D114" s="3" t="s">
        <v>16</v>
      </c>
      <c r="F114" s="10">
        <v>0</v>
      </c>
      <c r="H114" s="4">
        <v>0</v>
      </c>
      <c r="I114" s="4">
        <v>0</v>
      </c>
      <c r="J114" s="4">
        <v>0</v>
      </c>
      <c r="K114" s="5">
        <v>2</v>
      </c>
      <c r="L114" s="5">
        <v>1</v>
      </c>
      <c r="M114" s="5">
        <v>0</v>
      </c>
      <c r="Q114" s="6">
        <v>3</v>
      </c>
      <c r="R114">
        <f t="shared" si="7"/>
        <v>-2</v>
      </c>
      <c r="S114">
        <f t="shared" si="5"/>
        <v>0</v>
      </c>
    </row>
    <row r="115" spans="1:19" ht="15">
      <c r="A115" s="9">
        <f t="shared" si="6"/>
        <v>19</v>
      </c>
      <c r="B115" s="3">
        <v>3193</v>
      </c>
      <c r="C115" s="3">
        <v>1</v>
      </c>
      <c r="D115" s="3" t="s">
        <v>17</v>
      </c>
      <c r="F115" s="10">
        <v>0</v>
      </c>
      <c r="H115" s="4">
        <v>0</v>
      </c>
      <c r="I115" s="4">
        <v>0</v>
      </c>
      <c r="J115" s="4">
        <v>0</v>
      </c>
      <c r="K115" s="5">
        <v>1</v>
      </c>
      <c r="L115" s="5">
        <v>0</v>
      </c>
      <c r="M115" s="5">
        <v>0</v>
      </c>
      <c r="Q115" s="6">
        <v>0</v>
      </c>
      <c r="R115">
        <f t="shared" si="7"/>
        <v>0</v>
      </c>
      <c r="S115">
        <f t="shared" si="5"/>
        <v>0</v>
      </c>
    </row>
    <row r="116" spans="1:19" ht="15">
      <c r="A116" s="9">
        <f t="shared" si="6"/>
        <v>19</v>
      </c>
      <c r="B116" s="3">
        <v>128</v>
      </c>
      <c r="C116" s="3">
        <v>1</v>
      </c>
      <c r="D116" s="3" t="s">
        <v>17</v>
      </c>
      <c r="F116" s="10">
        <v>0</v>
      </c>
      <c r="H116" s="4">
        <v>0</v>
      </c>
      <c r="I116" s="4">
        <v>0</v>
      </c>
      <c r="J116" s="4">
        <v>0</v>
      </c>
      <c r="K116" s="5">
        <v>0</v>
      </c>
      <c r="L116" s="5">
        <v>0</v>
      </c>
      <c r="M116" s="5">
        <v>0</v>
      </c>
      <c r="Q116" s="6">
        <v>0</v>
      </c>
      <c r="R116">
        <f t="shared" si="7"/>
        <v>0</v>
      </c>
      <c r="S116">
        <f t="shared" si="5"/>
        <v>0</v>
      </c>
    </row>
    <row r="117" spans="1:19" ht="15">
      <c r="A117" s="9">
        <f t="shared" si="6"/>
        <v>19</v>
      </c>
      <c r="B117" s="3">
        <v>2656</v>
      </c>
      <c r="C117" s="3">
        <v>1</v>
      </c>
      <c r="D117" s="3" t="s">
        <v>17</v>
      </c>
      <c r="F117" s="10">
        <v>0</v>
      </c>
      <c r="H117" s="4">
        <v>0</v>
      </c>
      <c r="I117" s="4">
        <v>0</v>
      </c>
      <c r="J117" s="4">
        <v>0</v>
      </c>
      <c r="K117" s="5">
        <v>0</v>
      </c>
      <c r="L117" s="5">
        <v>0</v>
      </c>
      <c r="M117" s="5">
        <v>0</v>
      </c>
      <c r="Q117" s="6">
        <v>0</v>
      </c>
      <c r="R117">
        <f t="shared" si="7"/>
        <v>0</v>
      </c>
      <c r="S117">
        <f t="shared" si="5"/>
        <v>0</v>
      </c>
    </row>
    <row r="118" spans="1:19" ht="15">
      <c r="A118" s="9">
        <f t="shared" si="6"/>
        <v>20</v>
      </c>
      <c r="B118" s="3">
        <v>2051</v>
      </c>
      <c r="C118" s="3">
        <v>1</v>
      </c>
      <c r="D118" s="3" t="s">
        <v>16</v>
      </c>
      <c r="F118" s="10">
        <v>0</v>
      </c>
      <c r="H118" s="4">
        <v>0</v>
      </c>
      <c r="I118" s="4">
        <v>0</v>
      </c>
      <c r="J118" s="4">
        <v>0</v>
      </c>
      <c r="K118" s="5">
        <v>0</v>
      </c>
      <c r="L118" s="5">
        <v>0</v>
      </c>
      <c r="M118" s="5">
        <v>0</v>
      </c>
      <c r="Q118" s="6">
        <v>0</v>
      </c>
      <c r="R118">
        <f t="shared" si="7"/>
        <v>0</v>
      </c>
      <c r="S118">
        <f t="shared" si="5"/>
        <v>0</v>
      </c>
    </row>
    <row r="119" spans="1:19" ht="15">
      <c r="A119" s="9">
        <f t="shared" si="6"/>
        <v>20</v>
      </c>
      <c r="B119" s="3">
        <v>222</v>
      </c>
      <c r="C119" s="3">
        <v>1</v>
      </c>
      <c r="D119" s="3" t="s">
        <v>16</v>
      </c>
      <c r="F119" s="10">
        <v>0</v>
      </c>
      <c r="H119" s="4">
        <v>0</v>
      </c>
      <c r="I119" s="4">
        <v>0</v>
      </c>
      <c r="J119" s="4">
        <v>0</v>
      </c>
      <c r="K119" s="5">
        <v>0</v>
      </c>
      <c r="L119" s="5">
        <v>0</v>
      </c>
      <c r="M119" s="5">
        <v>0</v>
      </c>
      <c r="Q119" s="6">
        <v>0</v>
      </c>
      <c r="R119">
        <f t="shared" si="7"/>
        <v>0</v>
      </c>
      <c r="S119">
        <f t="shared" si="5"/>
        <v>0</v>
      </c>
    </row>
    <row r="120" spans="1:19" ht="15">
      <c r="A120" s="9">
        <f t="shared" si="6"/>
        <v>20</v>
      </c>
      <c r="B120" s="3">
        <v>2279</v>
      </c>
      <c r="C120" s="3">
        <v>1</v>
      </c>
      <c r="D120" s="3" t="s">
        <v>16</v>
      </c>
      <c r="F120" s="10">
        <v>0</v>
      </c>
      <c r="H120" s="4">
        <v>0</v>
      </c>
      <c r="I120" s="4">
        <v>0</v>
      </c>
      <c r="J120" s="4">
        <v>0</v>
      </c>
      <c r="K120" s="5">
        <v>0</v>
      </c>
      <c r="L120" s="5">
        <v>0</v>
      </c>
      <c r="M120" s="5">
        <v>0</v>
      </c>
      <c r="Q120" s="6">
        <v>0</v>
      </c>
      <c r="R120">
        <f t="shared" si="7"/>
        <v>0</v>
      </c>
      <c r="S120">
        <f t="shared" si="5"/>
        <v>0</v>
      </c>
    </row>
    <row r="121" spans="1:19" ht="15">
      <c r="A121" s="9">
        <f t="shared" si="6"/>
        <v>20</v>
      </c>
      <c r="B121" s="3">
        <v>63</v>
      </c>
      <c r="C121" s="3">
        <v>1</v>
      </c>
      <c r="D121" s="3" t="s">
        <v>17</v>
      </c>
      <c r="F121" s="10">
        <v>0</v>
      </c>
      <c r="H121" s="4">
        <v>0</v>
      </c>
      <c r="I121" s="4">
        <v>0</v>
      </c>
      <c r="J121" s="4">
        <v>0</v>
      </c>
      <c r="K121" s="5">
        <v>2</v>
      </c>
      <c r="L121" s="5">
        <v>1</v>
      </c>
      <c r="M121" s="5">
        <v>3</v>
      </c>
      <c r="Q121" s="6">
        <v>0</v>
      </c>
      <c r="R121">
        <f t="shared" si="7"/>
        <v>1</v>
      </c>
      <c r="S121">
        <f t="shared" si="5"/>
        <v>3</v>
      </c>
    </row>
    <row r="122" spans="1:19" ht="15">
      <c r="A122" s="9">
        <f t="shared" si="6"/>
        <v>20</v>
      </c>
      <c r="B122" s="3">
        <v>1503</v>
      </c>
      <c r="C122" s="3">
        <v>1</v>
      </c>
      <c r="D122" s="3" t="s">
        <v>17</v>
      </c>
      <c r="F122" s="10">
        <v>0</v>
      </c>
      <c r="H122" s="4">
        <v>0</v>
      </c>
      <c r="I122" s="4">
        <v>0</v>
      </c>
      <c r="J122" s="4">
        <v>0</v>
      </c>
      <c r="K122" s="5">
        <v>1</v>
      </c>
      <c r="L122" s="5">
        <v>0</v>
      </c>
      <c r="M122" s="5">
        <v>0</v>
      </c>
      <c r="Q122" s="6">
        <v>0</v>
      </c>
      <c r="R122">
        <f t="shared" si="7"/>
        <v>0</v>
      </c>
      <c r="S122">
        <f t="shared" si="5"/>
        <v>0</v>
      </c>
    </row>
    <row r="123" spans="1:19" ht="15">
      <c r="A123" s="9">
        <f t="shared" si="6"/>
        <v>20</v>
      </c>
      <c r="B123" s="3">
        <v>2252</v>
      </c>
      <c r="C123" s="3">
        <v>1</v>
      </c>
      <c r="D123" s="3" t="s">
        <v>17</v>
      </c>
      <c r="F123" s="10">
        <v>0</v>
      </c>
      <c r="H123" s="4">
        <v>0</v>
      </c>
      <c r="I123" s="4">
        <v>0</v>
      </c>
      <c r="J123" s="4">
        <v>0</v>
      </c>
      <c r="K123" s="5">
        <v>4</v>
      </c>
      <c r="L123" s="5">
        <v>4</v>
      </c>
      <c r="M123" s="5">
        <v>0</v>
      </c>
      <c r="Q123" s="6">
        <v>0</v>
      </c>
      <c r="R123">
        <f t="shared" si="7"/>
        <v>4</v>
      </c>
      <c r="S123">
        <f t="shared" si="5"/>
        <v>0</v>
      </c>
    </row>
    <row r="124" spans="1:19" ht="15">
      <c r="A124" s="9">
        <f t="shared" si="6"/>
        <v>21</v>
      </c>
      <c r="B124" s="3">
        <v>1114</v>
      </c>
      <c r="C124" s="3">
        <v>1</v>
      </c>
      <c r="D124" s="3" t="s">
        <v>16</v>
      </c>
      <c r="F124" s="10">
        <v>0</v>
      </c>
      <c r="H124" s="4">
        <v>3</v>
      </c>
      <c r="I124" s="4">
        <v>2</v>
      </c>
      <c r="J124" s="4">
        <v>1</v>
      </c>
      <c r="K124" s="5">
        <v>1</v>
      </c>
      <c r="L124" s="5">
        <v>6</v>
      </c>
      <c r="M124" s="5">
        <v>0</v>
      </c>
      <c r="P124" s="2">
        <v>2</v>
      </c>
      <c r="Q124" s="6">
        <v>1</v>
      </c>
      <c r="R124">
        <f t="shared" si="7"/>
        <v>8</v>
      </c>
      <c r="S124">
        <f t="shared" si="5"/>
        <v>2</v>
      </c>
    </row>
    <row r="125" spans="1:19" ht="15">
      <c r="A125" s="9">
        <f t="shared" si="6"/>
        <v>21</v>
      </c>
      <c r="B125" s="3">
        <v>117</v>
      </c>
      <c r="C125" s="3">
        <v>1</v>
      </c>
      <c r="D125" s="3" t="s">
        <v>16</v>
      </c>
      <c r="F125" s="10">
        <v>0</v>
      </c>
      <c r="H125" s="4">
        <v>0</v>
      </c>
      <c r="I125" s="4">
        <v>0</v>
      </c>
      <c r="J125" s="4">
        <v>0</v>
      </c>
      <c r="K125" s="5">
        <v>0</v>
      </c>
      <c r="L125" s="5">
        <v>0</v>
      </c>
      <c r="M125" s="5">
        <v>0</v>
      </c>
      <c r="Q125" s="6">
        <v>0</v>
      </c>
      <c r="R125">
        <f t="shared" si="7"/>
        <v>0</v>
      </c>
      <c r="S125">
        <f t="shared" si="5"/>
        <v>0</v>
      </c>
    </row>
    <row r="126" spans="1:19" ht="15">
      <c r="A126" s="9">
        <f t="shared" si="6"/>
        <v>21</v>
      </c>
      <c r="B126" s="3">
        <v>1317</v>
      </c>
      <c r="C126" s="3">
        <v>1</v>
      </c>
      <c r="D126" s="3" t="s">
        <v>16</v>
      </c>
      <c r="F126" s="10">
        <v>0</v>
      </c>
      <c r="H126" s="4">
        <v>0</v>
      </c>
      <c r="I126" s="4">
        <v>0</v>
      </c>
      <c r="J126" s="4">
        <v>0</v>
      </c>
      <c r="K126" s="5">
        <v>2</v>
      </c>
      <c r="L126" s="5">
        <v>1</v>
      </c>
      <c r="M126" s="5">
        <v>0</v>
      </c>
      <c r="Q126" s="6">
        <v>0</v>
      </c>
      <c r="R126">
        <f t="shared" si="7"/>
        <v>1</v>
      </c>
      <c r="S126">
        <f t="shared" si="5"/>
        <v>0</v>
      </c>
    </row>
    <row r="127" spans="1:19" ht="15">
      <c r="A127" s="9">
        <f t="shared" si="6"/>
        <v>21</v>
      </c>
      <c r="B127" s="3">
        <v>337</v>
      </c>
      <c r="C127" s="3">
        <v>1</v>
      </c>
      <c r="D127" s="3" t="s">
        <v>17</v>
      </c>
      <c r="F127" s="10">
        <v>0</v>
      </c>
      <c r="H127" s="4">
        <v>0</v>
      </c>
      <c r="I127" s="4">
        <v>0</v>
      </c>
      <c r="J127" s="4">
        <v>0</v>
      </c>
      <c r="K127" s="5">
        <v>2</v>
      </c>
      <c r="L127" s="5">
        <v>1</v>
      </c>
      <c r="M127" s="5">
        <v>0</v>
      </c>
      <c r="Q127" s="6">
        <v>0</v>
      </c>
      <c r="R127">
        <f t="shared" si="7"/>
        <v>1</v>
      </c>
      <c r="S127">
        <f t="shared" si="5"/>
        <v>0</v>
      </c>
    </row>
    <row r="128" spans="1:19" ht="15">
      <c r="A128" s="9">
        <f t="shared" si="6"/>
        <v>21</v>
      </c>
      <c r="B128" s="3">
        <v>2614</v>
      </c>
      <c r="C128" s="3">
        <v>1</v>
      </c>
      <c r="D128" s="3" t="s">
        <v>17</v>
      </c>
      <c r="F128" s="10">
        <v>0</v>
      </c>
      <c r="H128" s="4">
        <v>0</v>
      </c>
      <c r="I128" s="4">
        <v>1</v>
      </c>
      <c r="J128" s="4">
        <v>0</v>
      </c>
      <c r="K128" s="5">
        <v>1</v>
      </c>
      <c r="L128" s="5">
        <v>1</v>
      </c>
      <c r="M128" s="5">
        <v>2</v>
      </c>
      <c r="Q128" s="6">
        <v>0</v>
      </c>
      <c r="R128">
        <f t="shared" si="7"/>
        <v>1</v>
      </c>
      <c r="S128">
        <f t="shared" si="5"/>
        <v>3</v>
      </c>
    </row>
    <row r="129" spans="1:19" ht="15">
      <c r="A129" s="9">
        <f t="shared" si="6"/>
        <v>21</v>
      </c>
      <c r="B129" s="3">
        <v>2656</v>
      </c>
      <c r="C129" s="3">
        <v>1</v>
      </c>
      <c r="D129" s="3" t="s">
        <v>17</v>
      </c>
      <c r="F129" s="10">
        <v>2</v>
      </c>
      <c r="H129" s="4">
        <v>0</v>
      </c>
      <c r="I129" s="4">
        <v>0</v>
      </c>
      <c r="J129" s="4">
        <v>0</v>
      </c>
      <c r="K129" s="5">
        <v>0</v>
      </c>
      <c r="L129" s="5">
        <v>0</v>
      </c>
      <c r="M129" s="5">
        <v>0</v>
      </c>
      <c r="Q129" s="6">
        <v>0</v>
      </c>
      <c r="R129">
        <f t="shared" si="7"/>
        <v>0</v>
      </c>
      <c r="S129">
        <f t="shared" si="5"/>
        <v>0</v>
      </c>
    </row>
    <row r="130" spans="1:19" ht="15">
      <c r="A130" s="9">
        <f t="shared" si="6"/>
        <v>22</v>
      </c>
      <c r="B130" s="3">
        <v>3062</v>
      </c>
      <c r="C130" s="3">
        <v>1</v>
      </c>
      <c r="D130" s="3" t="s">
        <v>16</v>
      </c>
      <c r="F130" s="10">
        <v>2</v>
      </c>
      <c r="H130" s="4">
        <v>0</v>
      </c>
      <c r="I130" s="4">
        <v>0</v>
      </c>
      <c r="J130" s="4">
        <v>0</v>
      </c>
      <c r="K130" s="5">
        <v>0</v>
      </c>
      <c r="L130" s="5">
        <v>0</v>
      </c>
      <c r="M130" s="5">
        <v>0</v>
      </c>
      <c r="Q130" s="6">
        <v>0</v>
      </c>
      <c r="R130">
        <f t="shared" si="7"/>
        <v>0</v>
      </c>
      <c r="S130">
        <f t="shared" si="5"/>
        <v>0</v>
      </c>
    </row>
    <row r="131" spans="1:19" ht="15">
      <c r="A131" s="9">
        <f t="shared" si="6"/>
        <v>22</v>
      </c>
      <c r="B131" s="3">
        <v>451</v>
      </c>
      <c r="C131" s="3">
        <v>1</v>
      </c>
      <c r="D131" s="3" t="s">
        <v>16</v>
      </c>
      <c r="F131" s="10">
        <v>0</v>
      </c>
      <c r="H131" s="4">
        <v>1</v>
      </c>
      <c r="I131" s="4">
        <v>0</v>
      </c>
      <c r="J131" s="4">
        <v>0</v>
      </c>
      <c r="K131" s="5">
        <v>1</v>
      </c>
      <c r="L131" s="5">
        <v>4</v>
      </c>
      <c r="M131" s="5">
        <v>2</v>
      </c>
      <c r="Q131" s="6">
        <v>0</v>
      </c>
      <c r="R131">
        <f t="shared" si="7"/>
        <v>4</v>
      </c>
      <c r="S131">
        <f t="shared" si="5"/>
        <v>2</v>
      </c>
    </row>
    <row r="132" spans="1:19" ht="15">
      <c r="A132" s="9">
        <f t="shared" si="6"/>
        <v>22</v>
      </c>
      <c r="B132" s="3">
        <v>3138</v>
      </c>
      <c r="C132" s="3">
        <v>1</v>
      </c>
      <c r="D132" s="3" t="s">
        <v>16</v>
      </c>
      <c r="F132" s="10">
        <v>0</v>
      </c>
      <c r="H132" s="4">
        <v>1</v>
      </c>
      <c r="I132" s="4">
        <v>1</v>
      </c>
      <c r="J132" s="4">
        <v>0</v>
      </c>
      <c r="K132" s="5">
        <v>0</v>
      </c>
      <c r="L132" s="5">
        <v>0</v>
      </c>
      <c r="M132" s="5">
        <v>1</v>
      </c>
      <c r="Q132" s="6">
        <v>0</v>
      </c>
      <c r="R132">
        <f t="shared" si="7"/>
        <v>0</v>
      </c>
      <c r="S132">
        <f aca="true" t="shared" si="8" ref="S132:S195">I132+M132</f>
        <v>2</v>
      </c>
    </row>
    <row r="133" spans="1:19" ht="15">
      <c r="A133" s="9">
        <f t="shared" si="6"/>
        <v>22</v>
      </c>
      <c r="B133" s="3">
        <v>1279</v>
      </c>
      <c r="C133" s="3">
        <v>1</v>
      </c>
      <c r="D133" s="3" t="s">
        <v>17</v>
      </c>
      <c r="F133" s="10">
        <v>0</v>
      </c>
      <c r="H133" s="4">
        <v>2</v>
      </c>
      <c r="I133" s="4">
        <v>1</v>
      </c>
      <c r="J133" s="4">
        <v>1</v>
      </c>
      <c r="K133" s="5">
        <v>1</v>
      </c>
      <c r="L133" s="5">
        <v>1</v>
      </c>
      <c r="M133" s="5">
        <v>2</v>
      </c>
      <c r="Q133" s="6">
        <v>0</v>
      </c>
      <c r="R133">
        <f t="shared" si="7"/>
        <v>2</v>
      </c>
      <c r="S133">
        <f t="shared" si="8"/>
        <v>3</v>
      </c>
    </row>
    <row r="134" spans="1:19" ht="15">
      <c r="A134" s="9">
        <f t="shared" si="6"/>
        <v>22</v>
      </c>
      <c r="B134" s="3">
        <v>2603</v>
      </c>
      <c r="C134" s="3">
        <v>1</v>
      </c>
      <c r="D134" s="3" t="s">
        <v>17</v>
      </c>
      <c r="F134" s="10">
        <v>0</v>
      </c>
      <c r="H134" s="4">
        <v>0</v>
      </c>
      <c r="I134" s="4">
        <v>0</v>
      </c>
      <c r="J134" s="4">
        <v>0</v>
      </c>
      <c r="K134" s="5">
        <v>0</v>
      </c>
      <c r="L134" s="5">
        <v>0</v>
      </c>
      <c r="M134" s="5">
        <v>1</v>
      </c>
      <c r="Q134" s="6">
        <v>0</v>
      </c>
      <c r="R134">
        <f t="shared" si="7"/>
        <v>0</v>
      </c>
      <c r="S134">
        <f t="shared" si="8"/>
        <v>1</v>
      </c>
    </row>
    <row r="135" spans="1:19" ht="15">
      <c r="A135" s="9">
        <f t="shared" si="6"/>
        <v>22</v>
      </c>
      <c r="B135" s="3">
        <v>2252</v>
      </c>
      <c r="C135" s="3">
        <v>1</v>
      </c>
      <c r="D135" s="3" t="s">
        <v>17</v>
      </c>
      <c r="F135" s="10">
        <v>0</v>
      </c>
      <c r="H135" s="4">
        <v>0</v>
      </c>
      <c r="I135" s="4">
        <v>0</v>
      </c>
      <c r="J135" s="4">
        <v>0</v>
      </c>
      <c r="K135" s="5">
        <v>2</v>
      </c>
      <c r="L135" s="5">
        <v>2</v>
      </c>
      <c r="M135" s="5">
        <v>0</v>
      </c>
      <c r="Q135" s="6">
        <v>1</v>
      </c>
      <c r="R135">
        <f t="shared" si="7"/>
        <v>1</v>
      </c>
      <c r="S135">
        <f t="shared" si="8"/>
        <v>0</v>
      </c>
    </row>
    <row r="136" spans="1:19" ht="15">
      <c r="A136" s="9">
        <f t="shared" si="6"/>
        <v>23</v>
      </c>
      <c r="B136" s="3">
        <v>306</v>
      </c>
      <c r="C136" s="3">
        <v>1</v>
      </c>
      <c r="D136" s="3" t="s">
        <v>16</v>
      </c>
      <c r="F136" s="10">
        <v>0</v>
      </c>
      <c r="H136" s="4">
        <v>0</v>
      </c>
      <c r="I136" s="4">
        <v>0</v>
      </c>
      <c r="J136" s="4">
        <v>0</v>
      </c>
      <c r="K136" s="5">
        <v>0</v>
      </c>
      <c r="L136" s="5">
        <v>0</v>
      </c>
      <c r="M136" s="5">
        <v>3</v>
      </c>
      <c r="Q136" s="6">
        <v>1</v>
      </c>
      <c r="R136">
        <f t="shared" si="7"/>
        <v>-1</v>
      </c>
      <c r="S136">
        <f t="shared" si="8"/>
        <v>3</v>
      </c>
    </row>
    <row r="137" spans="1:19" ht="15">
      <c r="A137" s="9">
        <f t="shared" si="6"/>
        <v>23</v>
      </c>
      <c r="B137" s="3">
        <v>1990</v>
      </c>
      <c r="C137" s="3">
        <v>1</v>
      </c>
      <c r="D137" s="3" t="s">
        <v>16</v>
      </c>
      <c r="F137" s="10">
        <v>0</v>
      </c>
      <c r="H137" s="4">
        <v>1</v>
      </c>
      <c r="I137" s="4">
        <v>1</v>
      </c>
      <c r="J137" s="4">
        <v>0</v>
      </c>
      <c r="K137" s="5">
        <v>1</v>
      </c>
      <c r="L137" s="5">
        <v>0</v>
      </c>
      <c r="M137" s="5">
        <v>0</v>
      </c>
      <c r="Q137" s="6">
        <v>1</v>
      </c>
      <c r="R137">
        <f t="shared" si="7"/>
        <v>-1</v>
      </c>
      <c r="S137">
        <f t="shared" si="8"/>
        <v>1</v>
      </c>
    </row>
    <row r="138" spans="1:19" ht="15">
      <c r="A138" s="9">
        <f t="shared" si="6"/>
        <v>23</v>
      </c>
      <c r="B138" s="3">
        <v>128</v>
      </c>
      <c r="C138" s="3">
        <v>1</v>
      </c>
      <c r="D138" s="3" t="s">
        <v>16</v>
      </c>
      <c r="F138" s="10">
        <v>0</v>
      </c>
      <c r="H138" s="4">
        <v>1</v>
      </c>
      <c r="I138" s="4">
        <v>0</v>
      </c>
      <c r="J138" s="4">
        <v>0</v>
      </c>
      <c r="K138" s="5">
        <v>2</v>
      </c>
      <c r="L138" s="5">
        <v>1</v>
      </c>
      <c r="M138" s="5">
        <v>0</v>
      </c>
      <c r="Q138" s="6">
        <v>0</v>
      </c>
      <c r="R138">
        <f t="shared" si="7"/>
        <v>1</v>
      </c>
      <c r="S138">
        <f t="shared" si="8"/>
        <v>0</v>
      </c>
    </row>
    <row r="139" spans="1:19" ht="15">
      <c r="A139" s="9">
        <f t="shared" si="6"/>
        <v>23</v>
      </c>
      <c r="B139" s="3">
        <v>1708</v>
      </c>
      <c r="C139" s="3">
        <v>1</v>
      </c>
      <c r="D139" s="3" t="s">
        <v>17</v>
      </c>
      <c r="F139" s="10">
        <v>0</v>
      </c>
      <c r="H139" s="4">
        <v>0</v>
      </c>
      <c r="I139" s="4">
        <v>0</v>
      </c>
      <c r="J139" s="4">
        <v>0</v>
      </c>
      <c r="K139" s="5">
        <v>0</v>
      </c>
      <c r="L139" s="5">
        <v>0</v>
      </c>
      <c r="M139" s="5">
        <v>0</v>
      </c>
      <c r="Q139" s="6">
        <v>0</v>
      </c>
      <c r="R139">
        <f t="shared" si="7"/>
        <v>0</v>
      </c>
      <c r="S139">
        <f t="shared" si="8"/>
        <v>0</v>
      </c>
    </row>
    <row r="140" spans="1:19" ht="15">
      <c r="A140" s="9">
        <f t="shared" si="6"/>
        <v>23</v>
      </c>
      <c r="B140" s="3">
        <v>2544</v>
      </c>
      <c r="C140" s="3">
        <v>1</v>
      </c>
      <c r="D140" s="3" t="s">
        <v>17</v>
      </c>
      <c r="F140" s="10">
        <v>0</v>
      </c>
      <c r="H140" s="4">
        <v>0</v>
      </c>
      <c r="I140" s="4">
        <v>0</v>
      </c>
      <c r="J140" s="4">
        <v>0</v>
      </c>
      <c r="K140" s="5">
        <v>1</v>
      </c>
      <c r="L140" s="5">
        <v>0</v>
      </c>
      <c r="M140" s="5">
        <v>0</v>
      </c>
      <c r="Q140" s="6">
        <v>0</v>
      </c>
      <c r="R140">
        <f t="shared" si="7"/>
        <v>0</v>
      </c>
      <c r="S140">
        <f t="shared" si="8"/>
        <v>0</v>
      </c>
    </row>
    <row r="141" spans="1:19" ht="15">
      <c r="A141" s="9">
        <f t="shared" si="6"/>
        <v>23</v>
      </c>
      <c r="B141" s="3">
        <v>1503</v>
      </c>
      <c r="C141" s="3">
        <v>1</v>
      </c>
      <c r="D141" s="3" t="s">
        <v>17</v>
      </c>
      <c r="F141" s="10">
        <v>0</v>
      </c>
      <c r="H141" s="4">
        <v>0</v>
      </c>
      <c r="I141" s="4">
        <v>0</v>
      </c>
      <c r="J141" s="4">
        <v>0</v>
      </c>
      <c r="K141" s="5">
        <v>0</v>
      </c>
      <c r="L141" s="5">
        <v>1</v>
      </c>
      <c r="M141" s="5">
        <v>3</v>
      </c>
      <c r="Q141" s="6">
        <v>0</v>
      </c>
      <c r="R141">
        <f t="shared" si="7"/>
        <v>1</v>
      </c>
      <c r="S141">
        <f t="shared" si="8"/>
        <v>3</v>
      </c>
    </row>
    <row r="142" spans="1:19" ht="15">
      <c r="A142" s="9">
        <f t="shared" si="6"/>
        <v>24</v>
      </c>
      <c r="B142" s="3">
        <v>3260</v>
      </c>
      <c r="C142" s="3">
        <v>1</v>
      </c>
      <c r="D142" s="3" t="s">
        <v>16</v>
      </c>
      <c r="F142" s="10">
        <v>0</v>
      </c>
      <c r="H142" s="4">
        <v>0</v>
      </c>
      <c r="I142" s="4">
        <v>0</v>
      </c>
      <c r="J142" s="4">
        <v>0</v>
      </c>
      <c r="K142" s="5">
        <v>0</v>
      </c>
      <c r="L142" s="5">
        <v>0</v>
      </c>
      <c r="M142" s="5">
        <v>0</v>
      </c>
      <c r="Q142" s="6">
        <v>0</v>
      </c>
      <c r="R142">
        <f t="shared" si="7"/>
        <v>0</v>
      </c>
      <c r="S142">
        <f t="shared" si="8"/>
        <v>0</v>
      </c>
    </row>
    <row r="143" spans="1:19" ht="15">
      <c r="A143" s="9">
        <f t="shared" si="6"/>
        <v>24</v>
      </c>
      <c r="B143" s="3">
        <v>3193</v>
      </c>
      <c r="C143" s="3">
        <v>1</v>
      </c>
      <c r="D143" s="3" t="s">
        <v>16</v>
      </c>
      <c r="F143" s="10">
        <v>0</v>
      </c>
      <c r="H143" s="4">
        <v>0</v>
      </c>
      <c r="I143" s="4">
        <v>0</v>
      </c>
      <c r="J143" s="4">
        <v>0</v>
      </c>
      <c r="K143" s="5">
        <v>1</v>
      </c>
      <c r="L143" s="5">
        <v>0</v>
      </c>
      <c r="M143" s="5">
        <v>1</v>
      </c>
      <c r="Q143" s="6">
        <v>0</v>
      </c>
      <c r="R143">
        <f t="shared" si="7"/>
        <v>0</v>
      </c>
      <c r="S143">
        <f t="shared" si="8"/>
        <v>1</v>
      </c>
    </row>
    <row r="144" spans="1:19" ht="15">
      <c r="A144" s="9">
        <f t="shared" si="6"/>
        <v>24</v>
      </c>
      <c r="B144" s="3">
        <v>222</v>
      </c>
      <c r="C144" s="3">
        <v>1</v>
      </c>
      <c r="D144" s="3" t="s">
        <v>16</v>
      </c>
      <c r="F144" s="10">
        <v>0</v>
      </c>
      <c r="H144" s="4">
        <v>0</v>
      </c>
      <c r="I144" s="4">
        <v>0</v>
      </c>
      <c r="J144" s="4">
        <v>0</v>
      </c>
      <c r="K144" s="5">
        <v>0</v>
      </c>
      <c r="L144" s="5">
        <v>0</v>
      </c>
      <c r="M144" s="5">
        <v>0</v>
      </c>
      <c r="Q144" s="6">
        <v>0</v>
      </c>
      <c r="R144">
        <f t="shared" si="7"/>
        <v>0</v>
      </c>
      <c r="S144">
        <f t="shared" si="8"/>
        <v>0</v>
      </c>
    </row>
    <row r="145" spans="1:19" ht="15">
      <c r="A145" s="9">
        <f t="shared" si="6"/>
        <v>24</v>
      </c>
      <c r="B145" s="3">
        <v>1114</v>
      </c>
      <c r="C145" s="3">
        <v>1</v>
      </c>
      <c r="D145" s="3" t="s">
        <v>17</v>
      </c>
      <c r="F145" s="10">
        <v>0</v>
      </c>
      <c r="H145" s="4">
        <v>3</v>
      </c>
      <c r="I145" s="4">
        <v>2</v>
      </c>
      <c r="J145" s="4">
        <v>1</v>
      </c>
      <c r="K145" s="5">
        <v>1</v>
      </c>
      <c r="L145" s="5">
        <v>5</v>
      </c>
      <c r="M145" s="5">
        <v>3</v>
      </c>
      <c r="P145" s="2">
        <v>2</v>
      </c>
      <c r="Q145" s="6">
        <v>0</v>
      </c>
      <c r="R145">
        <f t="shared" si="7"/>
        <v>8</v>
      </c>
      <c r="S145">
        <f t="shared" si="8"/>
        <v>5</v>
      </c>
    </row>
    <row r="146" spans="1:19" ht="15">
      <c r="A146" s="9">
        <f t="shared" si="6"/>
        <v>24</v>
      </c>
      <c r="B146" s="3">
        <v>433</v>
      </c>
      <c r="C146" s="3">
        <v>1</v>
      </c>
      <c r="D146" s="3" t="s">
        <v>17</v>
      </c>
      <c r="F146" s="10">
        <v>0</v>
      </c>
      <c r="H146" s="4">
        <v>0</v>
      </c>
      <c r="I146" s="4">
        <v>0</v>
      </c>
      <c r="J146" s="4">
        <v>0</v>
      </c>
      <c r="K146" s="5">
        <v>0</v>
      </c>
      <c r="L146" s="5">
        <v>1</v>
      </c>
      <c r="M146" s="5">
        <v>1</v>
      </c>
      <c r="Q146" s="6">
        <v>0</v>
      </c>
      <c r="R146">
        <f t="shared" si="7"/>
        <v>1</v>
      </c>
      <c r="S146">
        <f t="shared" si="8"/>
        <v>1</v>
      </c>
    </row>
    <row r="147" spans="1:19" ht="15">
      <c r="A147" s="9">
        <f t="shared" si="6"/>
        <v>24</v>
      </c>
      <c r="B147" s="3">
        <v>337</v>
      </c>
      <c r="C147" s="3">
        <v>1</v>
      </c>
      <c r="D147" s="3" t="s">
        <v>17</v>
      </c>
      <c r="F147" s="10">
        <v>0</v>
      </c>
      <c r="H147" s="4">
        <v>0</v>
      </c>
      <c r="I147" s="4">
        <v>0</v>
      </c>
      <c r="J147" s="4">
        <v>0</v>
      </c>
      <c r="K147" s="5">
        <v>0</v>
      </c>
      <c r="L147" s="5">
        <v>0</v>
      </c>
      <c r="M147" s="5">
        <v>0</v>
      </c>
      <c r="Q147" s="6">
        <v>0</v>
      </c>
      <c r="R147">
        <f t="shared" si="7"/>
        <v>0</v>
      </c>
      <c r="S147">
        <f t="shared" si="8"/>
        <v>0</v>
      </c>
    </row>
    <row r="148" spans="1:19" ht="15">
      <c r="A148" s="9">
        <f t="shared" si="6"/>
        <v>25</v>
      </c>
      <c r="B148" s="3">
        <v>117</v>
      </c>
      <c r="C148" s="3">
        <v>1</v>
      </c>
      <c r="D148" s="3" t="s">
        <v>16</v>
      </c>
      <c r="F148" s="10">
        <v>0</v>
      </c>
      <c r="H148" s="4">
        <v>0</v>
      </c>
      <c r="I148" s="4">
        <v>0</v>
      </c>
      <c r="J148" s="4">
        <v>0</v>
      </c>
      <c r="K148" s="5">
        <v>0</v>
      </c>
      <c r="L148" s="5">
        <v>0</v>
      </c>
      <c r="M148" s="5">
        <v>2</v>
      </c>
      <c r="Q148" s="6">
        <v>0</v>
      </c>
      <c r="R148">
        <f t="shared" si="7"/>
        <v>0</v>
      </c>
      <c r="S148">
        <f t="shared" si="8"/>
        <v>2</v>
      </c>
    </row>
    <row r="149" spans="1:19" ht="15">
      <c r="A149" s="9">
        <f t="shared" si="6"/>
        <v>25</v>
      </c>
      <c r="B149" s="3">
        <v>2809</v>
      </c>
      <c r="C149" s="3">
        <v>1</v>
      </c>
      <c r="D149" s="3" t="s">
        <v>16</v>
      </c>
      <c r="E149" s="3" t="s">
        <v>40</v>
      </c>
      <c r="F149" s="10">
        <v>0</v>
      </c>
      <c r="H149" s="4">
        <v>0</v>
      </c>
      <c r="I149" s="4">
        <v>0</v>
      </c>
      <c r="J149" s="4">
        <v>0</v>
      </c>
      <c r="K149" s="5">
        <v>2</v>
      </c>
      <c r="L149" s="5">
        <v>3</v>
      </c>
      <c r="M149" s="5">
        <v>0</v>
      </c>
      <c r="Q149" s="6">
        <v>0</v>
      </c>
      <c r="R149">
        <f t="shared" si="7"/>
        <v>3</v>
      </c>
      <c r="S149">
        <f t="shared" si="8"/>
        <v>0</v>
      </c>
    </row>
    <row r="150" spans="1:19" ht="15">
      <c r="A150" s="9">
        <f t="shared" si="6"/>
        <v>25</v>
      </c>
      <c r="B150" s="3">
        <v>2618</v>
      </c>
      <c r="C150" s="3">
        <v>1</v>
      </c>
      <c r="D150" s="3" t="s">
        <v>16</v>
      </c>
      <c r="F150" s="10">
        <v>0</v>
      </c>
      <c r="H150" s="4">
        <v>0</v>
      </c>
      <c r="I150" s="4">
        <v>0</v>
      </c>
      <c r="J150" s="4">
        <v>0</v>
      </c>
      <c r="K150" s="5">
        <v>0</v>
      </c>
      <c r="L150" s="5">
        <v>0</v>
      </c>
      <c r="M150" s="5">
        <v>0</v>
      </c>
      <c r="Q150" s="6">
        <v>0</v>
      </c>
      <c r="R150">
        <f t="shared" si="7"/>
        <v>0</v>
      </c>
      <c r="S150">
        <f t="shared" si="8"/>
        <v>0</v>
      </c>
    </row>
    <row r="151" spans="1:19" ht="15">
      <c r="A151" s="9">
        <f t="shared" si="6"/>
        <v>25</v>
      </c>
      <c r="B151" s="3">
        <v>2614</v>
      </c>
      <c r="C151" s="3">
        <v>1</v>
      </c>
      <c r="D151" s="3" t="s">
        <v>17</v>
      </c>
      <c r="F151" s="10">
        <v>0</v>
      </c>
      <c r="H151" s="4">
        <v>0</v>
      </c>
      <c r="I151" s="4">
        <v>1</v>
      </c>
      <c r="J151" s="4">
        <v>1</v>
      </c>
      <c r="K151" s="5">
        <v>0</v>
      </c>
      <c r="L151" s="5">
        <v>0</v>
      </c>
      <c r="M151" s="5">
        <v>0</v>
      </c>
      <c r="Q151" s="6">
        <v>0</v>
      </c>
      <c r="R151">
        <f t="shared" si="7"/>
        <v>1</v>
      </c>
      <c r="S151">
        <f t="shared" si="8"/>
        <v>1</v>
      </c>
    </row>
    <row r="152" spans="1:19" ht="15">
      <c r="A152" s="9">
        <f t="shared" si="6"/>
        <v>25</v>
      </c>
      <c r="B152" s="3">
        <v>2279</v>
      </c>
      <c r="C152" s="3">
        <v>1</v>
      </c>
      <c r="D152" s="3" t="s">
        <v>17</v>
      </c>
      <c r="F152" s="10">
        <v>0</v>
      </c>
      <c r="H152" s="4">
        <v>0</v>
      </c>
      <c r="I152" s="4">
        <v>0</v>
      </c>
      <c r="J152" s="4">
        <v>0</v>
      </c>
      <c r="K152" s="5">
        <v>0</v>
      </c>
      <c r="L152" s="5">
        <v>0</v>
      </c>
      <c r="M152" s="5">
        <v>0</v>
      </c>
      <c r="Q152" s="6">
        <v>1</v>
      </c>
      <c r="R152">
        <f t="shared" si="7"/>
        <v>-1</v>
      </c>
      <c r="S152">
        <f t="shared" si="8"/>
        <v>0</v>
      </c>
    </row>
    <row r="153" spans="1:19" ht="15">
      <c r="A153" s="9">
        <f t="shared" si="6"/>
        <v>25</v>
      </c>
      <c r="B153" s="3">
        <v>2614</v>
      </c>
      <c r="C153" s="3">
        <v>1</v>
      </c>
      <c r="D153" s="3" t="s">
        <v>17</v>
      </c>
      <c r="F153" s="10">
        <v>0</v>
      </c>
      <c r="H153" s="4">
        <v>0</v>
      </c>
      <c r="I153" s="4">
        <v>0</v>
      </c>
      <c r="J153" s="4">
        <v>0</v>
      </c>
      <c r="K153" s="5">
        <v>0</v>
      </c>
      <c r="L153" s="5">
        <v>0</v>
      </c>
      <c r="M153" s="5">
        <v>0</v>
      </c>
      <c r="Q153" s="6">
        <v>0</v>
      </c>
      <c r="R153">
        <f t="shared" si="7"/>
        <v>0</v>
      </c>
      <c r="S153">
        <f t="shared" si="8"/>
        <v>0</v>
      </c>
    </row>
    <row r="154" spans="1:19" ht="15">
      <c r="A154" s="9">
        <f t="shared" si="6"/>
        <v>26</v>
      </c>
      <c r="B154" s="3">
        <v>1038</v>
      </c>
      <c r="C154" s="3">
        <v>1</v>
      </c>
      <c r="D154" s="3" t="s">
        <v>16</v>
      </c>
      <c r="F154" s="10">
        <v>0</v>
      </c>
      <c r="H154" s="4">
        <v>1</v>
      </c>
      <c r="I154" s="4">
        <v>0</v>
      </c>
      <c r="J154" s="4">
        <v>0</v>
      </c>
      <c r="K154" s="5">
        <v>0</v>
      </c>
      <c r="L154" s="5">
        <v>0</v>
      </c>
      <c r="M154" s="5">
        <v>0</v>
      </c>
      <c r="Q154" s="6">
        <v>0</v>
      </c>
      <c r="R154">
        <f t="shared" si="7"/>
        <v>0</v>
      </c>
      <c r="S154">
        <f t="shared" si="8"/>
        <v>0</v>
      </c>
    </row>
    <row r="155" spans="1:19" ht="15">
      <c r="A155" s="9">
        <f t="shared" si="6"/>
        <v>26</v>
      </c>
      <c r="B155" s="3">
        <v>63</v>
      </c>
      <c r="C155" s="3">
        <v>1</v>
      </c>
      <c r="D155" s="3" t="s">
        <v>16</v>
      </c>
      <c r="F155" s="10">
        <v>0</v>
      </c>
      <c r="H155" s="4">
        <v>1</v>
      </c>
      <c r="I155" s="4">
        <v>0</v>
      </c>
      <c r="J155" s="4">
        <v>1</v>
      </c>
      <c r="K155" s="5">
        <v>5</v>
      </c>
      <c r="L155" s="5">
        <v>3</v>
      </c>
      <c r="M155" s="5">
        <v>1</v>
      </c>
      <c r="Q155" s="6">
        <v>0</v>
      </c>
      <c r="R155">
        <f t="shared" si="7"/>
        <v>4</v>
      </c>
      <c r="S155">
        <f t="shared" si="8"/>
        <v>1</v>
      </c>
    </row>
    <row r="156" spans="1:19" ht="15">
      <c r="A156" s="9">
        <f t="shared" si="6"/>
        <v>26</v>
      </c>
      <c r="B156" s="3">
        <v>2603</v>
      </c>
      <c r="C156" s="3">
        <v>1</v>
      </c>
      <c r="D156" s="3" t="s">
        <v>16</v>
      </c>
      <c r="F156" s="10">
        <v>0</v>
      </c>
      <c r="H156" s="4">
        <v>0</v>
      </c>
      <c r="I156" s="4">
        <v>0</v>
      </c>
      <c r="J156" s="4">
        <v>0</v>
      </c>
      <c r="K156" s="5">
        <v>0</v>
      </c>
      <c r="L156" s="5">
        <v>0</v>
      </c>
      <c r="M156" s="5">
        <v>0</v>
      </c>
      <c r="Q156" s="6">
        <v>1</v>
      </c>
      <c r="R156">
        <f t="shared" si="7"/>
        <v>-1</v>
      </c>
      <c r="S156">
        <f t="shared" si="8"/>
        <v>0</v>
      </c>
    </row>
    <row r="157" spans="1:19" ht="15">
      <c r="A157" s="9">
        <f t="shared" si="6"/>
        <v>26</v>
      </c>
      <c r="B157" s="3">
        <v>1249</v>
      </c>
      <c r="C157" s="3">
        <v>1</v>
      </c>
      <c r="D157" s="3" t="s">
        <v>17</v>
      </c>
      <c r="F157" s="10">
        <v>0</v>
      </c>
      <c r="H157" s="4">
        <v>0</v>
      </c>
      <c r="I157" s="4">
        <v>0</v>
      </c>
      <c r="J157" s="4">
        <v>0</v>
      </c>
      <c r="K157" s="5">
        <v>3</v>
      </c>
      <c r="L157" s="5">
        <v>2</v>
      </c>
      <c r="M157" s="5">
        <v>1</v>
      </c>
      <c r="Q157" s="6">
        <v>0</v>
      </c>
      <c r="R157">
        <f t="shared" si="7"/>
        <v>2</v>
      </c>
      <c r="S157">
        <f t="shared" si="8"/>
        <v>1</v>
      </c>
    </row>
    <row r="158" spans="1:19" ht="15">
      <c r="A158" s="9">
        <f t="shared" si="6"/>
        <v>26</v>
      </c>
      <c r="B158" s="3">
        <v>2051</v>
      </c>
      <c r="C158" s="3">
        <v>1</v>
      </c>
      <c r="D158" s="3" t="s">
        <v>17</v>
      </c>
      <c r="F158" s="10">
        <v>0</v>
      </c>
      <c r="H158" s="4">
        <v>0</v>
      </c>
      <c r="I158" s="4">
        <v>0</v>
      </c>
      <c r="J158" s="4">
        <v>0</v>
      </c>
      <c r="K158" s="5">
        <v>4</v>
      </c>
      <c r="L158" s="5">
        <v>3</v>
      </c>
      <c r="M158" s="5">
        <v>0</v>
      </c>
      <c r="Q158" s="6">
        <v>0</v>
      </c>
      <c r="R158">
        <f t="shared" si="7"/>
        <v>3</v>
      </c>
      <c r="S158">
        <f t="shared" si="8"/>
        <v>0</v>
      </c>
    </row>
    <row r="159" spans="1:19" ht="15">
      <c r="A159" s="9">
        <f t="shared" si="6"/>
        <v>26</v>
      </c>
      <c r="B159" s="3">
        <v>1743</v>
      </c>
      <c r="C159" s="3">
        <v>1</v>
      </c>
      <c r="D159" s="3" t="s">
        <v>17</v>
      </c>
      <c r="F159" s="10">
        <v>0</v>
      </c>
      <c r="H159" s="4">
        <v>0</v>
      </c>
      <c r="I159" s="4">
        <v>0</v>
      </c>
      <c r="J159" s="4">
        <v>0</v>
      </c>
      <c r="K159" s="5">
        <v>0</v>
      </c>
      <c r="L159" s="5">
        <v>0</v>
      </c>
      <c r="M159" s="5">
        <v>1</v>
      </c>
      <c r="Q159" s="6">
        <v>1</v>
      </c>
      <c r="R159">
        <f t="shared" si="7"/>
        <v>-1</v>
      </c>
      <c r="S159">
        <f t="shared" si="8"/>
        <v>1</v>
      </c>
    </row>
    <row r="160" spans="1:19" ht="15">
      <c r="A160" s="9">
        <f t="shared" si="6"/>
        <v>27</v>
      </c>
      <c r="B160" s="3">
        <v>2809</v>
      </c>
      <c r="C160" s="3">
        <v>1</v>
      </c>
      <c r="D160" s="3" t="s">
        <v>16</v>
      </c>
      <c r="E160" s="3" t="s">
        <v>41</v>
      </c>
      <c r="F160" s="10">
        <v>0</v>
      </c>
      <c r="H160" s="4">
        <v>0</v>
      </c>
      <c r="I160" s="4">
        <v>0</v>
      </c>
      <c r="J160" s="4">
        <v>0</v>
      </c>
      <c r="K160" s="5">
        <v>4</v>
      </c>
      <c r="L160" s="5">
        <v>0</v>
      </c>
      <c r="M160" s="5">
        <v>1</v>
      </c>
      <c r="Q160" s="6">
        <v>0</v>
      </c>
      <c r="R160">
        <f t="shared" si="7"/>
        <v>0</v>
      </c>
      <c r="S160">
        <f t="shared" si="8"/>
        <v>1</v>
      </c>
    </row>
    <row r="161" spans="1:19" ht="15">
      <c r="A161" s="9">
        <f t="shared" si="6"/>
        <v>27</v>
      </c>
      <c r="B161" s="3" t="s">
        <v>0</v>
      </c>
      <c r="C161" s="3">
        <v>1</v>
      </c>
      <c r="D161" s="3" t="s">
        <v>16</v>
      </c>
      <c r="F161" s="10">
        <v>0</v>
      </c>
      <c r="H161" s="4">
        <v>0</v>
      </c>
      <c r="I161" s="4">
        <v>0</v>
      </c>
      <c r="J161" s="4">
        <v>0</v>
      </c>
      <c r="K161" s="5">
        <v>4</v>
      </c>
      <c r="L161" s="5">
        <v>1</v>
      </c>
      <c r="M161" s="5">
        <v>0</v>
      </c>
      <c r="Q161" s="6">
        <v>1</v>
      </c>
      <c r="R161">
        <f t="shared" si="7"/>
        <v>0</v>
      </c>
      <c r="S161">
        <f t="shared" si="8"/>
        <v>0</v>
      </c>
    </row>
    <row r="162" spans="1:19" ht="15">
      <c r="A162" s="9">
        <f t="shared" si="6"/>
        <v>27</v>
      </c>
      <c r="B162" s="3">
        <v>2544</v>
      </c>
      <c r="C162" s="3">
        <v>1</v>
      </c>
      <c r="D162" s="3" t="s">
        <v>16</v>
      </c>
      <c r="F162" s="10">
        <v>0</v>
      </c>
      <c r="H162" s="4">
        <v>0</v>
      </c>
      <c r="I162" s="4">
        <v>0</v>
      </c>
      <c r="J162" s="4">
        <v>0</v>
      </c>
      <c r="K162" s="5">
        <v>0</v>
      </c>
      <c r="L162" s="5">
        <v>0</v>
      </c>
      <c r="M162" s="5">
        <v>0</v>
      </c>
      <c r="Q162" s="6">
        <v>0</v>
      </c>
      <c r="R162">
        <f t="shared" si="7"/>
        <v>0</v>
      </c>
      <c r="S162">
        <f t="shared" si="8"/>
        <v>0</v>
      </c>
    </row>
    <row r="163" spans="1:19" ht="15">
      <c r="A163" s="9">
        <f aca="true" t="shared" si="9" ref="A163:A213">A157+1</f>
        <v>27</v>
      </c>
      <c r="B163" s="3">
        <v>117</v>
      </c>
      <c r="C163" s="3">
        <v>1</v>
      </c>
      <c r="D163" s="3" t="s">
        <v>17</v>
      </c>
      <c r="F163" s="10">
        <v>0</v>
      </c>
      <c r="H163" s="4">
        <v>0</v>
      </c>
      <c r="I163" s="4">
        <v>0</v>
      </c>
      <c r="J163" s="4">
        <v>0</v>
      </c>
      <c r="K163" s="5">
        <v>3</v>
      </c>
      <c r="L163" s="5">
        <v>1</v>
      </c>
      <c r="M163" s="5">
        <v>0</v>
      </c>
      <c r="Q163" s="6">
        <v>0</v>
      </c>
      <c r="R163">
        <f aca="true" t="shared" si="10" ref="R163:R213">J163+L163+P163-Q163</f>
        <v>1</v>
      </c>
      <c r="S163">
        <f t="shared" si="8"/>
        <v>0</v>
      </c>
    </row>
    <row r="164" spans="1:19" ht="15">
      <c r="A164" s="9">
        <f t="shared" si="9"/>
        <v>27</v>
      </c>
      <c r="B164" s="3">
        <v>3193</v>
      </c>
      <c r="C164" s="3">
        <v>1</v>
      </c>
      <c r="D164" s="3" t="s">
        <v>17</v>
      </c>
      <c r="F164" s="10">
        <v>0</v>
      </c>
      <c r="H164" s="4">
        <v>0</v>
      </c>
      <c r="I164" s="4">
        <v>0</v>
      </c>
      <c r="J164" s="4">
        <v>0</v>
      </c>
      <c r="K164" s="5">
        <v>5</v>
      </c>
      <c r="L164" s="5">
        <v>3</v>
      </c>
      <c r="M164" s="5">
        <v>0</v>
      </c>
      <c r="Q164" s="6">
        <v>0</v>
      </c>
      <c r="R164">
        <f t="shared" si="10"/>
        <v>3</v>
      </c>
      <c r="S164">
        <f t="shared" si="8"/>
        <v>0</v>
      </c>
    </row>
    <row r="165" spans="1:19" ht="15">
      <c r="A165" s="9">
        <f t="shared" si="9"/>
        <v>27</v>
      </c>
      <c r="B165" s="3">
        <v>1279</v>
      </c>
      <c r="C165" s="3">
        <v>1</v>
      </c>
      <c r="D165" s="3" t="s">
        <v>17</v>
      </c>
      <c r="F165" s="10">
        <v>0</v>
      </c>
      <c r="H165" s="4">
        <v>2</v>
      </c>
      <c r="I165" s="4">
        <v>1</v>
      </c>
      <c r="J165" s="4">
        <v>1</v>
      </c>
      <c r="K165" s="5">
        <v>1</v>
      </c>
      <c r="L165" s="5">
        <v>1</v>
      </c>
      <c r="M165" s="5">
        <v>0</v>
      </c>
      <c r="Q165" s="6">
        <v>0</v>
      </c>
      <c r="R165">
        <f t="shared" si="10"/>
        <v>2</v>
      </c>
      <c r="S165">
        <f t="shared" si="8"/>
        <v>1</v>
      </c>
    </row>
    <row r="166" spans="1:19" ht="15">
      <c r="A166" s="9">
        <f t="shared" si="9"/>
        <v>28</v>
      </c>
      <c r="B166" s="3">
        <v>2618</v>
      </c>
      <c r="C166" s="3">
        <v>1</v>
      </c>
      <c r="D166" s="3" t="s">
        <v>16</v>
      </c>
      <c r="F166" s="10">
        <v>0</v>
      </c>
      <c r="H166" s="4">
        <v>0</v>
      </c>
      <c r="I166" s="4">
        <v>0</v>
      </c>
      <c r="J166" s="4">
        <v>0</v>
      </c>
      <c r="K166" s="5">
        <v>0</v>
      </c>
      <c r="L166" s="5">
        <v>0</v>
      </c>
      <c r="M166" s="5">
        <v>0</v>
      </c>
      <c r="Q166" s="6">
        <v>0</v>
      </c>
      <c r="R166">
        <f t="shared" si="10"/>
        <v>0</v>
      </c>
      <c r="S166">
        <f t="shared" si="8"/>
        <v>0</v>
      </c>
    </row>
    <row r="167" spans="1:19" ht="15">
      <c r="A167" s="9">
        <f t="shared" si="9"/>
        <v>28</v>
      </c>
      <c r="B167" s="3">
        <v>337</v>
      </c>
      <c r="C167" s="3">
        <v>1</v>
      </c>
      <c r="D167" s="3" t="s">
        <v>16</v>
      </c>
      <c r="F167" s="10">
        <v>0</v>
      </c>
      <c r="H167" s="4">
        <v>0</v>
      </c>
      <c r="I167" s="4">
        <v>0</v>
      </c>
      <c r="J167" s="4">
        <v>0</v>
      </c>
      <c r="K167" s="5">
        <v>1</v>
      </c>
      <c r="L167" s="5">
        <v>1</v>
      </c>
      <c r="M167" s="5">
        <v>2</v>
      </c>
      <c r="Q167" s="6">
        <v>0</v>
      </c>
      <c r="R167">
        <f t="shared" si="10"/>
        <v>1</v>
      </c>
      <c r="S167">
        <f t="shared" si="8"/>
        <v>2</v>
      </c>
    </row>
    <row r="168" spans="1:19" ht="15">
      <c r="A168" s="9">
        <f t="shared" si="9"/>
        <v>28</v>
      </c>
      <c r="B168" s="3">
        <v>2051</v>
      </c>
      <c r="C168" s="3">
        <v>1</v>
      </c>
      <c r="D168" s="3" t="s">
        <v>16</v>
      </c>
      <c r="F168" s="10">
        <v>0</v>
      </c>
      <c r="H168" s="4">
        <v>0</v>
      </c>
      <c r="I168" s="4">
        <v>0</v>
      </c>
      <c r="J168" s="4">
        <v>0</v>
      </c>
      <c r="K168" s="5">
        <v>10</v>
      </c>
      <c r="L168" s="5">
        <v>4</v>
      </c>
      <c r="M168" s="5">
        <v>0</v>
      </c>
      <c r="Q168" s="6">
        <v>0</v>
      </c>
      <c r="R168">
        <f t="shared" si="10"/>
        <v>4</v>
      </c>
      <c r="S168">
        <f t="shared" si="8"/>
        <v>0</v>
      </c>
    </row>
    <row r="169" spans="1:19" ht="15">
      <c r="A169" s="9">
        <f t="shared" si="9"/>
        <v>28</v>
      </c>
      <c r="B169" s="3">
        <v>1038</v>
      </c>
      <c r="C169" s="3">
        <v>1</v>
      </c>
      <c r="D169" s="3" t="s">
        <v>17</v>
      </c>
      <c r="F169" s="10">
        <v>0</v>
      </c>
      <c r="H169" s="4">
        <v>0</v>
      </c>
      <c r="I169" s="4">
        <v>0</v>
      </c>
      <c r="J169" s="4">
        <v>0</v>
      </c>
      <c r="K169" s="5">
        <v>0</v>
      </c>
      <c r="L169" s="5">
        <v>0</v>
      </c>
      <c r="M169" s="5">
        <v>0</v>
      </c>
      <c r="Q169" s="6">
        <v>0</v>
      </c>
      <c r="R169">
        <f t="shared" si="10"/>
        <v>0</v>
      </c>
      <c r="S169">
        <f t="shared" si="8"/>
        <v>0</v>
      </c>
    </row>
    <row r="170" spans="1:19" ht="15">
      <c r="A170" s="9">
        <f t="shared" si="9"/>
        <v>28</v>
      </c>
      <c r="B170" s="3">
        <v>1503</v>
      </c>
      <c r="C170" s="3">
        <v>1</v>
      </c>
      <c r="D170" s="3" t="s">
        <v>17</v>
      </c>
      <c r="F170" s="10">
        <v>0</v>
      </c>
      <c r="H170" s="4">
        <v>0</v>
      </c>
      <c r="I170" s="4">
        <v>0</v>
      </c>
      <c r="J170" s="4">
        <v>0</v>
      </c>
      <c r="K170" s="5">
        <v>1</v>
      </c>
      <c r="L170" s="5">
        <v>3</v>
      </c>
      <c r="M170" s="5">
        <v>2</v>
      </c>
      <c r="Q170" s="6">
        <v>0</v>
      </c>
      <c r="R170">
        <f t="shared" si="10"/>
        <v>3</v>
      </c>
      <c r="S170">
        <f t="shared" si="8"/>
        <v>2</v>
      </c>
    </row>
    <row r="171" spans="1:19" ht="15">
      <c r="A171" s="9">
        <f t="shared" si="9"/>
        <v>28</v>
      </c>
      <c r="B171" s="3">
        <v>128</v>
      </c>
      <c r="C171" s="3">
        <v>1</v>
      </c>
      <c r="D171" s="3" t="s">
        <v>17</v>
      </c>
      <c r="F171" s="10">
        <v>0</v>
      </c>
      <c r="H171" s="4">
        <v>0</v>
      </c>
      <c r="I171" s="4">
        <v>0</v>
      </c>
      <c r="J171" s="4">
        <v>0</v>
      </c>
      <c r="K171" s="5">
        <v>0</v>
      </c>
      <c r="L171" s="5">
        <v>0</v>
      </c>
      <c r="M171" s="5">
        <v>0</v>
      </c>
      <c r="Q171" s="6">
        <v>0</v>
      </c>
      <c r="R171">
        <f t="shared" si="10"/>
        <v>0</v>
      </c>
      <c r="S171">
        <f t="shared" si="8"/>
        <v>0</v>
      </c>
    </row>
    <row r="172" spans="1:19" ht="15">
      <c r="A172" s="9">
        <f t="shared" si="9"/>
        <v>29</v>
      </c>
      <c r="B172" s="3">
        <v>1708</v>
      </c>
      <c r="C172" s="3">
        <v>1</v>
      </c>
      <c r="D172" s="3" t="s">
        <v>16</v>
      </c>
      <c r="F172" s="10">
        <v>0</v>
      </c>
      <c r="H172" s="4">
        <v>0</v>
      </c>
      <c r="I172" s="4">
        <v>0</v>
      </c>
      <c r="J172" s="4">
        <v>0</v>
      </c>
      <c r="K172" s="5">
        <v>0</v>
      </c>
      <c r="L172" s="5">
        <v>0</v>
      </c>
      <c r="M172" s="5">
        <v>0</v>
      </c>
      <c r="Q172" s="6">
        <v>0</v>
      </c>
      <c r="R172">
        <f t="shared" si="10"/>
        <v>0</v>
      </c>
      <c r="S172">
        <f t="shared" si="8"/>
        <v>0</v>
      </c>
    </row>
    <row r="173" spans="1:19" ht="15">
      <c r="A173" s="9">
        <f t="shared" si="9"/>
        <v>29</v>
      </c>
      <c r="B173" s="3">
        <v>3138</v>
      </c>
      <c r="C173" s="3">
        <v>1</v>
      </c>
      <c r="D173" s="3" t="s">
        <v>16</v>
      </c>
      <c r="F173" s="10">
        <v>0</v>
      </c>
      <c r="H173" s="4">
        <v>1</v>
      </c>
      <c r="I173" s="4">
        <v>1</v>
      </c>
      <c r="J173" s="4">
        <v>0</v>
      </c>
      <c r="K173" s="5">
        <v>4</v>
      </c>
      <c r="L173" s="5">
        <v>3</v>
      </c>
      <c r="M173" s="5">
        <v>3</v>
      </c>
      <c r="Q173" s="6">
        <v>0</v>
      </c>
      <c r="R173">
        <f t="shared" si="10"/>
        <v>3</v>
      </c>
      <c r="S173">
        <f t="shared" si="8"/>
        <v>4</v>
      </c>
    </row>
    <row r="174" spans="1:19" ht="15">
      <c r="A174" s="9">
        <f t="shared" si="9"/>
        <v>29</v>
      </c>
      <c r="B174" s="3">
        <v>222</v>
      </c>
      <c r="C174" s="3">
        <v>1</v>
      </c>
      <c r="D174" s="3" t="s">
        <v>16</v>
      </c>
      <c r="F174" s="10">
        <v>0</v>
      </c>
      <c r="H174" s="4">
        <v>0</v>
      </c>
      <c r="I174" s="4">
        <v>0</v>
      </c>
      <c r="J174" s="4">
        <v>0</v>
      </c>
      <c r="K174" s="5">
        <v>8</v>
      </c>
      <c r="L174" s="5">
        <v>4</v>
      </c>
      <c r="M174" s="5">
        <v>0</v>
      </c>
      <c r="P174" s="2">
        <v>2</v>
      </c>
      <c r="Q174" s="6">
        <v>0</v>
      </c>
      <c r="R174">
        <f t="shared" si="10"/>
        <v>6</v>
      </c>
      <c r="S174">
        <f t="shared" si="8"/>
        <v>0</v>
      </c>
    </row>
    <row r="175" spans="1:19" ht="15">
      <c r="A175" s="9">
        <f t="shared" si="9"/>
        <v>29</v>
      </c>
      <c r="B175" s="3">
        <v>2656</v>
      </c>
      <c r="C175" s="3">
        <v>1</v>
      </c>
      <c r="D175" s="3" t="s">
        <v>17</v>
      </c>
      <c r="F175" s="10">
        <v>0</v>
      </c>
      <c r="H175" s="4">
        <v>0</v>
      </c>
      <c r="I175" s="4">
        <v>0</v>
      </c>
      <c r="J175" s="4">
        <v>0</v>
      </c>
      <c r="K175" s="5">
        <v>0</v>
      </c>
      <c r="L175" s="5">
        <v>0</v>
      </c>
      <c r="M175" s="5">
        <v>0</v>
      </c>
      <c r="Q175" s="6">
        <v>0</v>
      </c>
      <c r="R175">
        <f t="shared" si="10"/>
        <v>0</v>
      </c>
      <c r="S175">
        <f t="shared" si="8"/>
        <v>0</v>
      </c>
    </row>
    <row r="176" spans="1:19" ht="15">
      <c r="A176" s="9">
        <f t="shared" si="9"/>
        <v>29</v>
      </c>
      <c r="B176" s="3">
        <v>433</v>
      </c>
      <c r="C176" s="3">
        <v>1</v>
      </c>
      <c r="D176" s="3" t="s">
        <v>17</v>
      </c>
      <c r="F176" s="10">
        <v>0</v>
      </c>
      <c r="H176" s="4">
        <v>0</v>
      </c>
      <c r="I176" s="4">
        <v>0</v>
      </c>
      <c r="J176" s="4">
        <v>0</v>
      </c>
      <c r="K176" s="5">
        <v>0</v>
      </c>
      <c r="L176" s="5">
        <v>0</v>
      </c>
      <c r="M176" s="5">
        <v>1</v>
      </c>
      <c r="Q176" s="6">
        <v>0</v>
      </c>
      <c r="R176">
        <f t="shared" si="10"/>
        <v>0</v>
      </c>
      <c r="S176">
        <f t="shared" si="8"/>
        <v>1</v>
      </c>
    </row>
    <row r="177" spans="1:19" ht="15">
      <c r="A177" s="9">
        <f t="shared" si="9"/>
        <v>29</v>
      </c>
      <c r="B177" s="3">
        <v>3062</v>
      </c>
      <c r="C177" s="3">
        <v>1</v>
      </c>
      <c r="D177" s="3" t="s">
        <v>17</v>
      </c>
      <c r="F177" s="10">
        <v>0</v>
      </c>
      <c r="H177" s="4">
        <v>0</v>
      </c>
      <c r="I177" s="4">
        <v>0</v>
      </c>
      <c r="J177" s="4">
        <v>0</v>
      </c>
      <c r="K177" s="5">
        <v>0</v>
      </c>
      <c r="L177" s="5">
        <v>4</v>
      </c>
      <c r="M177" s="5">
        <v>0</v>
      </c>
      <c r="Q177" s="6">
        <v>0</v>
      </c>
      <c r="R177">
        <f t="shared" si="10"/>
        <v>4</v>
      </c>
      <c r="S177">
        <f t="shared" si="8"/>
        <v>0</v>
      </c>
    </row>
    <row r="178" spans="1:19" ht="15">
      <c r="A178" s="9">
        <f t="shared" si="9"/>
        <v>30</v>
      </c>
      <c r="B178" s="3">
        <v>3260</v>
      </c>
      <c r="C178" s="3">
        <v>1</v>
      </c>
      <c r="D178" s="3" t="s">
        <v>16</v>
      </c>
      <c r="F178" s="10">
        <v>0</v>
      </c>
      <c r="H178" s="4">
        <v>0</v>
      </c>
      <c r="I178" s="4">
        <v>0</v>
      </c>
      <c r="J178" s="4">
        <v>0</v>
      </c>
      <c r="K178" s="5">
        <v>5</v>
      </c>
      <c r="L178" s="5">
        <v>0</v>
      </c>
      <c r="M178" s="5">
        <v>0</v>
      </c>
      <c r="Q178" s="6">
        <v>0</v>
      </c>
      <c r="R178">
        <f t="shared" si="10"/>
        <v>0</v>
      </c>
      <c r="S178">
        <f t="shared" si="8"/>
        <v>0</v>
      </c>
    </row>
    <row r="179" spans="1:19" ht="15">
      <c r="A179" s="9">
        <f t="shared" si="9"/>
        <v>30</v>
      </c>
      <c r="B179" s="3">
        <v>1990</v>
      </c>
      <c r="C179" s="3">
        <v>1</v>
      </c>
      <c r="D179" s="3" t="s">
        <v>16</v>
      </c>
      <c r="F179" s="10">
        <v>0</v>
      </c>
      <c r="H179" s="4">
        <v>1</v>
      </c>
      <c r="I179" s="4">
        <v>1</v>
      </c>
      <c r="J179" s="4">
        <v>0</v>
      </c>
      <c r="K179" s="5">
        <v>4</v>
      </c>
      <c r="L179" s="5">
        <v>0</v>
      </c>
      <c r="M179" s="5">
        <v>3</v>
      </c>
      <c r="Q179" s="6">
        <v>1</v>
      </c>
      <c r="R179">
        <f t="shared" si="10"/>
        <v>-1</v>
      </c>
      <c r="S179">
        <f t="shared" si="8"/>
        <v>4</v>
      </c>
    </row>
    <row r="180" spans="1:19" ht="15">
      <c r="A180" s="9">
        <f t="shared" si="9"/>
        <v>30</v>
      </c>
      <c r="B180" s="3">
        <v>2641</v>
      </c>
      <c r="C180" s="3">
        <v>1</v>
      </c>
      <c r="D180" s="3" t="s">
        <v>16</v>
      </c>
      <c r="F180" s="10">
        <v>0</v>
      </c>
      <c r="H180" s="4">
        <v>0</v>
      </c>
      <c r="I180" s="4">
        <v>0</v>
      </c>
      <c r="J180" s="4">
        <v>0</v>
      </c>
      <c r="K180" s="5">
        <v>0</v>
      </c>
      <c r="L180" s="5">
        <v>0</v>
      </c>
      <c r="M180" s="5">
        <v>1</v>
      </c>
      <c r="Q180" s="6">
        <v>0</v>
      </c>
      <c r="R180">
        <f t="shared" si="10"/>
        <v>0</v>
      </c>
      <c r="S180">
        <f t="shared" si="8"/>
        <v>1</v>
      </c>
    </row>
    <row r="181" spans="1:19" ht="15">
      <c r="A181" s="9">
        <f t="shared" si="9"/>
        <v>30</v>
      </c>
      <c r="B181" s="3">
        <v>1114</v>
      </c>
      <c r="C181" s="3">
        <v>1</v>
      </c>
      <c r="D181" s="3" t="s">
        <v>17</v>
      </c>
      <c r="F181" s="10">
        <v>0</v>
      </c>
      <c r="H181" s="4">
        <v>3</v>
      </c>
      <c r="I181" s="4">
        <v>2</v>
      </c>
      <c r="J181" s="4">
        <v>1</v>
      </c>
      <c r="K181" s="5">
        <v>0</v>
      </c>
      <c r="L181" s="5">
        <v>2</v>
      </c>
      <c r="M181" s="5">
        <v>1</v>
      </c>
      <c r="Q181" s="6">
        <v>1</v>
      </c>
      <c r="R181">
        <f t="shared" si="10"/>
        <v>2</v>
      </c>
      <c r="S181">
        <f t="shared" si="8"/>
        <v>3</v>
      </c>
    </row>
    <row r="182" spans="1:19" ht="15">
      <c r="A182" s="9">
        <f t="shared" si="9"/>
        <v>30</v>
      </c>
      <c r="B182" s="3">
        <v>2279</v>
      </c>
      <c r="C182" s="3">
        <v>1</v>
      </c>
      <c r="D182" s="3" t="s">
        <v>17</v>
      </c>
      <c r="F182" s="10">
        <v>0</v>
      </c>
      <c r="H182" s="4">
        <v>0</v>
      </c>
      <c r="I182" s="4">
        <v>0</v>
      </c>
      <c r="J182" s="4">
        <v>0</v>
      </c>
      <c r="K182" s="5">
        <v>0</v>
      </c>
      <c r="L182" s="5">
        <v>0</v>
      </c>
      <c r="M182" s="5">
        <v>0</v>
      </c>
      <c r="Q182" s="6">
        <v>0</v>
      </c>
      <c r="R182">
        <f t="shared" si="10"/>
        <v>0</v>
      </c>
      <c r="S182">
        <f t="shared" si="8"/>
        <v>0</v>
      </c>
    </row>
    <row r="183" spans="1:19" ht="15">
      <c r="A183" s="9">
        <f t="shared" si="9"/>
        <v>30</v>
      </c>
      <c r="B183" s="3">
        <v>1249</v>
      </c>
      <c r="C183" s="3">
        <v>1</v>
      </c>
      <c r="D183" s="3" t="s">
        <v>17</v>
      </c>
      <c r="F183" s="10">
        <v>0</v>
      </c>
      <c r="H183" s="4">
        <v>1</v>
      </c>
      <c r="I183" s="4">
        <v>0</v>
      </c>
      <c r="J183" s="4">
        <v>0</v>
      </c>
      <c r="K183" s="5">
        <v>2</v>
      </c>
      <c r="L183" s="5">
        <v>3</v>
      </c>
      <c r="M183" s="5">
        <v>0</v>
      </c>
      <c r="Q183" s="6">
        <v>0</v>
      </c>
      <c r="R183">
        <f t="shared" si="10"/>
        <v>3</v>
      </c>
      <c r="S183">
        <f t="shared" si="8"/>
        <v>0</v>
      </c>
    </row>
    <row r="184" spans="1:19" ht="15">
      <c r="A184" s="9">
        <f t="shared" si="9"/>
        <v>31</v>
      </c>
      <c r="B184" s="3">
        <v>1743</v>
      </c>
      <c r="C184" s="3">
        <v>1</v>
      </c>
      <c r="D184" s="3" t="s">
        <v>16</v>
      </c>
      <c r="F184" s="10">
        <v>0</v>
      </c>
      <c r="H184" s="4">
        <v>0</v>
      </c>
      <c r="I184" s="4">
        <v>0</v>
      </c>
      <c r="J184" s="4">
        <v>0</v>
      </c>
      <c r="K184" s="5">
        <v>0</v>
      </c>
      <c r="L184" s="5">
        <v>0</v>
      </c>
      <c r="M184" s="5">
        <v>2</v>
      </c>
      <c r="Q184" s="6">
        <v>0</v>
      </c>
      <c r="R184">
        <f t="shared" si="10"/>
        <v>0</v>
      </c>
      <c r="S184">
        <f t="shared" si="8"/>
        <v>2</v>
      </c>
    </row>
    <row r="185" spans="1:19" ht="15">
      <c r="A185" s="9">
        <f t="shared" si="9"/>
        <v>31</v>
      </c>
      <c r="B185" s="3">
        <v>451</v>
      </c>
      <c r="C185" s="3">
        <v>1</v>
      </c>
      <c r="D185" s="3" t="s">
        <v>16</v>
      </c>
      <c r="F185" s="10">
        <v>0</v>
      </c>
      <c r="H185" s="4">
        <v>1</v>
      </c>
      <c r="I185" s="4">
        <v>0</v>
      </c>
      <c r="J185" s="4">
        <v>1</v>
      </c>
      <c r="K185" s="5">
        <v>2</v>
      </c>
      <c r="L185" s="5">
        <v>2</v>
      </c>
      <c r="M185" s="5">
        <v>2</v>
      </c>
      <c r="Q185" s="6">
        <v>0</v>
      </c>
      <c r="R185">
        <f t="shared" si="10"/>
        <v>3</v>
      </c>
      <c r="S185">
        <f t="shared" si="8"/>
        <v>2</v>
      </c>
    </row>
    <row r="186" spans="1:19" ht="15">
      <c r="A186" s="9">
        <f t="shared" si="9"/>
        <v>31</v>
      </c>
      <c r="B186" s="3">
        <v>63</v>
      </c>
      <c r="C186" s="3">
        <v>1</v>
      </c>
      <c r="D186" s="3" t="s">
        <v>16</v>
      </c>
      <c r="F186" s="10">
        <v>0</v>
      </c>
      <c r="H186" s="4">
        <v>0</v>
      </c>
      <c r="I186" s="4">
        <v>0</v>
      </c>
      <c r="J186" s="4">
        <v>0</v>
      </c>
      <c r="K186" s="5">
        <v>0</v>
      </c>
      <c r="L186" s="5">
        <v>0</v>
      </c>
      <c r="M186" s="5">
        <v>0</v>
      </c>
      <c r="Q186" s="6">
        <v>0</v>
      </c>
      <c r="R186">
        <f t="shared" si="10"/>
        <v>0</v>
      </c>
      <c r="S186">
        <f t="shared" si="8"/>
        <v>0</v>
      </c>
    </row>
    <row r="187" spans="1:19" ht="15">
      <c r="A187" s="9">
        <f t="shared" si="9"/>
        <v>31</v>
      </c>
      <c r="B187" s="3">
        <v>2614</v>
      </c>
      <c r="C187" s="3">
        <v>1</v>
      </c>
      <c r="D187" s="3" t="s">
        <v>17</v>
      </c>
      <c r="F187" s="10">
        <v>0</v>
      </c>
      <c r="H187" s="4">
        <v>2</v>
      </c>
      <c r="I187" s="4">
        <v>0</v>
      </c>
      <c r="J187" s="4">
        <v>2</v>
      </c>
      <c r="K187" s="5">
        <v>0</v>
      </c>
      <c r="L187" s="5">
        <v>0</v>
      </c>
      <c r="M187" s="5">
        <v>2</v>
      </c>
      <c r="P187" s="2">
        <v>2</v>
      </c>
      <c r="Q187" s="6">
        <v>0</v>
      </c>
      <c r="R187">
        <f t="shared" si="10"/>
        <v>4</v>
      </c>
      <c r="S187">
        <f t="shared" si="8"/>
        <v>2</v>
      </c>
    </row>
    <row r="188" spans="1:19" ht="15">
      <c r="A188" s="9">
        <f t="shared" si="9"/>
        <v>31</v>
      </c>
      <c r="B188" s="3">
        <v>306</v>
      </c>
      <c r="C188" s="3">
        <v>1</v>
      </c>
      <c r="D188" s="3" t="s">
        <v>17</v>
      </c>
      <c r="F188" s="10">
        <v>0</v>
      </c>
      <c r="H188" s="4">
        <v>0</v>
      </c>
      <c r="I188" s="4">
        <v>0</v>
      </c>
      <c r="J188" s="4">
        <v>0</v>
      </c>
      <c r="K188" s="5">
        <v>0</v>
      </c>
      <c r="L188" s="5">
        <v>0</v>
      </c>
      <c r="M188" s="5">
        <v>2</v>
      </c>
      <c r="Q188" s="6">
        <v>0</v>
      </c>
      <c r="R188">
        <f t="shared" si="10"/>
        <v>0</v>
      </c>
      <c r="S188">
        <f t="shared" si="8"/>
        <v>2</v>
      </c>
    </row>
    <row r="189" spans="1:19" ht="15">
      <c r="A189" s="9">
        <f t="shared" si="9"/>
        <v>31</v>
      </c>
      <c r="B189" s="3">
        <v>1317</v>
      </c>
      <c r="C189" s="3">
        <v>1</v>
      </c>
      <c r="D189" s="3" t="s">
        <v>17</v>
      </c>
      <c r="F189" s="10">
        <v>0</v>
      </c>
      <c r="H189" s="4">
        <v>0</v>
      </c>
      <c r="I189" s="4">
        <v>0</v>
      </c>
      <c r="J189" s="4">
        <v>0</v>
      </c>
      <c r="K189" s="5">
        <v>1</v>
      </c>
      <c r="L189" s="5">
        <v>3</v>
      </c>
      <c r="M189" s="5">
        <v>1</v>
      </c>
      <c r="Q189" s="6">
        <v>0</v>
      </c>
      <c r="R189">
        <f t="shared" si="10"/>
        <v>3</v>
      </c>
      <c r="S189">
        <f t="shared" si="8"/>
        <v>1</v>
      </c>
    </row>
    <row r="190" spans="1:19" ht="15">
      <c r="A190" s="9">
        <f t="shared" si="9"/>
        <v>32</v>
      </c>
      <c r="B190" s="3">
        <v>1249</v>
      </c>
      <c r="C190" s="3">
        <v>1</v>
      </c>
      <c r="D190" s="3" t="s">
        <v>16</v>
      </c>
      <c r="F190" s="10">
        <v>0</v>
      </c>
      <c r="H190" s="4">
        <v>0</v>
      </c>
      <c r="I190" s="4">
        <v>0</v>
      </c>
      <c r="J190" s="4">
        <v>0</v>
      </c>
      <c r="K190" s="5">
        <v>1</v>
      </c>
      <c r="L190" s="5">
        <v>0</v>
      </c>
      <c r="M190" s="5">
        <v>0</v>
      </c>
      <c r="Q190" s="6">
        <v>0</v>
      </c>
      <c r="R190">
        <f t="shared" si="10"/>
        <v>0</v>
      </c>
      <c r="S190">
        <f t="shared" si="8"/>
        <v>0</v>
      </c>
    </row>
    <row r="191" spans="1:19" ht="15">
      <c r="A191" s="9">
        <f t="shared" si="9"/>
        <v>32</v>
      </c>
      <c r="B191" s="3">
        <v>1038</v>
      </c>
      <c r="C191" s="3">
        <v>1</v>
      </c>
      <c r="D191" s="3" t="s">
        <v>16</v>
      </c>
      <c r="F191" s="10">
        <v>0</v>
      </c>
      <c r="H191" s="4">
        <v>0</v>
      </c>
      <c r="I191" s="4">
        <v>0</v>
      </c>
      <c r="J191" s="4">
        <v>0</v>
      </c>
      <c r="K191" s="5">
        <v>4</v>
      </c>
      <c r="L191" s="5">
        <v>2</v>
      </c>
      <c r="M191" s="5">
        <v>0</v>
      </c>
      <c r="Q191" s="6">
        <v>0</v>
      </c>
      <c r="R191">
        <f t="shared" si="10"/>
        <v>2</v>
      </c>
      <c r="S191">
        <f t="shared" si="8"/>
        <v>0</v>
      </c>
    </row>
    <row r="192" spans="1:19" ht="15">
      <c r="A192" s="9">
        <f t="shared" si="9"/>
        <v>32</v>
      </c>
      <c r="B192" s="3">
        <v>1990</v>
      </c>
      <c r="C192" s="3">
        <v>1</v>
      </c>
      <c r="D192" s="3" t="s">
        <v>16</v>
      </c>
      <c r="F192" s="10">
        <v>0</v>
      </c>
      <c r="H192" s="4">
        <v>0</v>
      </c>
      <c r="I192" s="4">
        <v>0</v>
      </c>
      <c r="J192" s="4">
        <v>0</v>
      </c>
      <c r="K192" s="5">
        <v>7</v>
      </c>
      <c r="L192" s="5">
        <v>0</v>
      </c>
      <c r="M192" s="5">
        <v>1</v>
      </c>
      <c r="Q192" s="6">
        <v>0</v>
      </c>
      <c r="R192">
        <f t="shared" si="10"/>
        <v>0</v>
      </c>
      <c r="S192">
        <f t="shared" si="8"/>
        <v>1</v>
      </c>
    </row>
    <row r="193" spans="1:19" ht="15">
      <c r="A193" s="9">
        <f t="shared" si="9"/>
        <v>32</v>
      </c>
      <c r="B193" s="3">
        <v>2252</v>
      </c>
      <c r="C193" s="3">
        <v>1</v>
      </c>
      <c r="D193" s="3" t="s">
        <v>17</v>
      </c>
      <c r="F193" s="10">
        <v>0</v>
      </c>
      <c r="H193" s="4">
        <v>0</v>
      </c>
      <c r="I193" s="4">
        <v>0</v>
      </c>
      <c r="J193" s="4">
        <v>0</v>
      </c>
      <c r="K193" s="5">
        <v>1</v>
      </c>
      <c r="L193" s="5">
        <v>3</v>
      </c>
      <c r="M193" s="5">
        <v>0</v>
      </c>
      <c r="Q193" s="6">
        <v>0</v>
      </c>
      <c r="R193">
        <f t="shared" si="10"/>
        <v>3</v>
      </c>
      <c r="S193">
        <f t="shared" si="8"/>
        <v>0</v>
      </c>
    </row>
    <row r="194" spans="1:19" ht="15">
      <c r="A194" s="9">
        <f t="shared" si="9"/>
        <v>32</v>
      </c>
      <c r="B194" s="3">
        <v>2641</v>
      </c>
      <c r="C194" s="3">
        <v>1</v>
      </c>
      <c r="D194" s="3" t="s">
        <v>17</v>
      </c>
      <c r="F194" s="10">
        <v>0</v>
      </c>
      <c r="H194" s="4">
        <v>0</v>
      </c>
      <c r="I194" s="4">
        <v>0</v>
      </c>
      <c r="J194" s="4">
        <v>0</v>
      </c>
      <c r="K194" s="5">
        <v>1</v>
      </c>
      <c r="L194" s="5">
        <v>0</v>
      </c>
      <c r="M194" s="5">
        <v>1</v>
      </c>
      <c r="Q194" s="6">
        <v>0</v>
      </c>
      <c r="R194">
        <f t="shared" si="10"/>
        <v>0</v>
      </c>
      <c r="S194">
        <f t="shared" si="8"/>
        <v>1</v>
      </c>
    </row>
    <row r="195" spans="1:19" ht="15">
      <c r="A195" s="9">
        <f t="shared" si="9"/>
        <v>32</v>
      </c>
      <c r="B195" s="3">
        <v>2618</v>
      </c>
      <c r="C195" s="3">
        <v>1</v>
      </c>
      <c r="D195" s="3" t="s">
        <v>17</v>
      </c>
      <c r="F195" s="10">
        <v>0</v>
      </c>
      <c r="H195" s="4">
        <v>0</v>
      </c>
      <c r="I195" s="4">
        <v>0</v>
      </c>
      <c r="J195" s="4">
        <v>0</v>
      </c>
      <c r="K195" s="5">
        <v>0</v>
      </c>
      <c r="L195" s="5">
        <v>0</v>
      </c>
      <c r="M195" s="5">
        <v>0</v>
      </c>
      <c r="Q195" s="6">
        <v>0</v>
      </c>
      <c r="R195">
        <f t="shared" si="10"/>
        <v>0</v>
      </c>
      <c r="S195">
        <f t="shared" si="8"/>
        <v>0</v>
      </c>
    </row>
    <row r="196" spans="1:19" ht="15">
      <c r="A196" s="9">
        <f t="shared" si="9"/>
        <v>33</v>
      </c>
      <c r="B196" s="3">
        <v>1279</v>
      </c>
      <c r="C196" s="3">
        <v>1</v>
      </c>
      <c r="D196" s="3" t="s">
        <v>16</v>
      </c>
      <c r="F196" s="10">
        <v>0</v>
      </c>
      <c r="H196" s="4">
        <v>0</v>
      </c>
      <c r="I196" s="4">
        <v>0</v>
      </c>
      <c r="J196" s="4">
        <v>0</v>
      </c>
      <c r="K196" s="5">
        <v>0</v>
      </c>
      <c r="L196" s="5">
        <v>1</v>
      </c>
      <c r="M196" s="5">
        <v>5</v>
      </c>
      <c r="Q196" s="6">
        <v>0</v>
      </c>
      <c r="R196">
        <f t="shared" si="10"/>
        <v>1</v>
      </c>
      <c r="S196">
        <f aca="true" t="shared" si="11" ref="S196:S213">I196+M196</f>
        <v>5</v>
      </c>
    </row>
    <row r="197" spans="1:19" ht="15">
      <c r="A197" s="9">
        <f t="shared" si="9"/>
        <v>33</v>
      </c>
      <c r="B197" s="3">
        <v>63</v>
      </c>
      <c r="C197" s="3">
        <v>1</v>
      </c>
      <c r="D197" s="3" t="s">
        <v>16</v>
      </c>
      <c r="F197" s="10">
        <v>0</v>
      </c>
      <c r="H197" s="4">
        <v>1</v>
      </c>
      <c r="I197" s="4">
        <v>1</v>
      </c>
      <c r="J197" s="4">
        <v>0</v>
      </c>
      <c r="K197" s="5">
        <v>0</v>
      </c>
      <c r="L197" s="5">
        <v>7</v>
      </c>
      <c r="M197" s="5">
        <v>0</v>
      </c>
      <c r="Q197" s="6">
        <v>0</v>
      </c>
      <c r="R197">
        <f t="shared" si="10"/>
        <v>7</v>
      </c>
      <c r="S197">
        <f t="shared" si="11"/>
        <v>1</v>
      </c>
    </row>
    <row r="198" spans="1:19" ht="15">
      <c r="A198" s="9">
        <f t="shared" si="9"/>
        <v>33</v>
      </c>
      <c r="B198" s="3">
        <v>3062</v>
      </c>
      <c r="C198" s="3">
        <v>1</v>
      </c>
      <c r="D198" s="3" t="s">
        <v>16</v>
      </c>
      <c r="F198" s="10">
        <v>0</v>
      </c>
      <c r="H198" s="4">
        <v>0</v>
      </c>
      <c r="I198" s="4">
        <v>0</v>
      </c>
      <c r="J198" s="4">
        <v>0</v>
      </c>
      <c r="K198" s="5">
        <v>1</v>
      </c>
      <c r="L198" s="5">
        <v>1</v>
      </c>
      <c r="M198" s="5">
        <v>0</v>
      </c>
      <c r="Q198" s="6">
        <v>0</v>
      </c>
      <c r="R198">
        <f t="shared" si="10"/>
        <v>1</v>
      </c>
      <c r="S198">
        <f t="shared" si="11"/>
        <v>0</v>
      </c>
    </row>
    <row r="199" spans="1:19" ht="15">
      <c r="A199" s="9">
        <f t="shared" si="9"/>
        <v>33</v>
      </c>
      <c r="B199" s="3">
        <v>3260</v>
      </c>
      <c r="C199" s="3">
        <v>1</v>
      </c>
      <c r="D199" s="3" t="s">
        <v>17</v>
      </c>
      <c r="F199" s="10">
        <v>0</v>
      </c>
      <c r="H199" s="4">
        <v>0</v>
      </c>
      <c r="I199" s="4">
        <v>0</v>
      </c>
      <c r="J199" s="4">
        <v>0</v>
      </c>
      <c r="K199" s="5">
        <v>0</v>
      </c>
      <c r="L199" s="5">
        <v>1</v>
      </c>
      <c r="M199" s="5">
        <v>0</v>
      </c>
      <c r="Q199" s="6">
        <v>0</v>
      </c>
      <c r="R199">
        <f t="shared" si="10"/>
        <v>1</v>
      </c>
      <c r="S199">
        <f t="shared" si="11"/>
        <v>0</v>
      </c>
    </row>
    <row r="200" spans="1:19" ht="15">
      <c r="A200" s="9">
        <f t="shared" si="9"/>
        <v>33</v>
      </c>
      <c r="B200" s="3">
        <v>433</v>
      </c>
      <c r="C200" s="3">
        <v>1</v>
      </c>
      <c r="D200" s="3" t="s">
        <v>17</v>
      </c>
      <c r="F200" s="10">
        <v>0</v>
      </c>
      <c r="H200" s="4">
        <v>0</v>
      </c>
      <c r="I200" s="4">
        <v>0</v>
      </c>
      <c r="J200" s="4">
        <v>0</v>
      </c>
      <c r="K200" s="5">
        <v>1</v>
      </c>
      <c r="L200" s="5">
        <v>1</v>
      </c>
      <c r="M200" s="5">
        <v>2</v>
      </c>
      <c r="Q200" s="6">
        <v>0</v>
      </c>
      <c r="R200">
        <f t="shared" si="10"/>
        <v>1</v>
      </c>
      <c r="S200">
        <f t="shared" si="11"/>
        <v>2</v>
      </c>
    </row>
    <row r="201" spans="1:19" ht="15">
      <c r="A201" s="9">
        <f t="shared" si="9"/>
        <v>33</v>
      </c>
      <c r="B201" s="3">
        <v>1503</v>
      </c>
      <c r="C201" s="3">
        <v>1</v>
      </c>
      <c r="D201" s="3" t="s">
        <v>17</v>
      </c>
      <c r="F201" s="10">
        <v>0</v>
      </c>
      <c r="H201" s="4">
        <v>0</v>
      </c>
      <c r="I201" s="4">
        <v>0</v>
      </c>
      <c r="J201" s="4">
        <v>0</v>
      </c>
      <c r="K201" s="5">
        <v>0</v>
      </c>
      <c r="L201" s="5">
        <v>1</v>
      </c>
      <c r="M201" s="5">
        <v>1</v>
      </c>
      <c r="Q201" s="6">
        <v>0</v>
      </c>
      <c r="R201">
        <f t="shared" si="10"/>
        <v>1</v>
      </c>
      <c r="S201">
        <f t="shared" si="11"/>
        <v>1</v>
      </c>
    </row>
    <row r="202" spans="1:19" ht="15">
      <c r="A202" s="9">
        <f t="shared" si="9"/>
        <v>34</v>
      </c>
      <c r="B202" s="3">
        <v>2614</v>
      </c>
      <c r="C202" s="3">
        <v>1</v>
      </c>
      <c r="D202" s="3" t="s">
        <v>16</v>
      </c>
      <c r="F202" s="10">
        <v>0</v>
      </c>
      <c r="H202" s="4">
        <v>1</v>
      </c>
      <c r="I202" s="4">
        <v>1</v>
      </c>
      <c r="J202" s="4">
        <v>0</v>
      </c>
      <c r="K202" s="5">
        <v>0</v>
      </c>
      <c r="L202" s="5">
        <v>0</v>
      </c>
      <c r="M202" s="5">
        <v>3</v>
      </c>
      <c r="Q202" s="6">
        <v>0</v>
      </c>
      <c r="R202">
        <f t="shared" si="10"/>
        <v>0</v>
      </c>
      <c r="S202">
        <f t="shared" si="11"/>
        <v>4</v>
      </c>
    </row>
    <row r="203" spans="1:19" ht="15">
      <c r="A203" s="9">
        <f t="shared" si="9"/>
        <v>34</v>
      </c>
      <c r="B203" s="3">
        <v>3193</v>
      </c>
      <c r="C203" s="3">
        <v>1</v>
      </c>
      <c r="D203" s="3" t="s">
        <v>16</v>
      </c>
      <c r="F203" s="10">
        <v>0</v>
      </c>
      <c r="H203" s="4">
        <v>0</v>
      </c>
      <c r="I203" s="4">
        <v>0</v>
      </c>
      <c r="J203" s="4">
        <v>0</v>
      </c>
      <c r="K203" s="5">
        <v>0</v>
      </c>
      <c r="L203" s="5">
        <v>0</v>
      </c>
      <c r="M203" s="5">
        <v>3</v>
      </c>
      <c r="Q203" s="6">
        <v>1</v>
      </c>
      <c r="R203">
        <f t="shared" si="10"/>
        <v>-1</v>
      </c>
      <c r="S203">
        <f t="shared" si="11"/>
        <v>3</v>
      </c>
    </row>
    <row r="204" spans="1:19" ht="15">
      <c r="A204" s="9">
        <f t="shared" si="9"/>
        <v>34</v>
      </c>
      <c r="B204" s="3">
        <v>2051</v>
      </c>
      <c r="C204" s="3">
        <v>1</v>
      </c>
      <c r="D204" s="3" t="s">
        <v>16</v>
      </c>
      <c r="F204" s="10">
        <v>0</v>
      </c>
      <c r="H204" s="4">
        <v>0</v>
      </c>
      <c r="I204" s="4">
        <v>0</v>
      </c>
      <c r="J204" s="4">
        <v>0</v>
      </c>
      <c r="K204" s="5">
        <v>6</v>
      </c>
      <c r="L204" s="5">
        <v>4</v>
      </c>
      <c r="M204" s="5">
        <v>0</v>
      </c>
      <c r="Q204" s="6">
        <v>2</v>
      </c>
      <c r="R204">
        <f t="shared" si="10"/>
        <v>2</v>
      </c>
      <c r="S204">
        <f t="shared" si="11"/>
        <v>0</v>
      </c>
    </row>
    <row r="205" spans="1:19" ht="15">
      <c r="A205" s="9">
        <f t="shared" si="9"/>
        <v>34</v>
      </c>
      <c r="B205" s="3">
        <v>3138</v>
      </c>
      <c r="C205" s="3">
        <v>1</v>
      </c>
      <c r="D205" s="3" t="s">
        <v>17</v>
      </c>
      <c r="F205" s="10">
        <v>0</v>
      </c>
      <c r="H205" s="4">
        <v>0</v>
      </c>
      <c r="I205" s="4">
        <v>0</v>
      </c>
      <c r="J205" s="4">
        <v>0</v>
      </c>
      <c r="K205" s="5">
        <v>0</v>
      </c>
      <c r="L205" s="5">
        <v>0</v>
      </c>
      <c r="M205" s="5">
        <v>2</v>
      </c>
      <c r="Q205" s="6">
        <v>0</v>
      </c>
      <c r="R205">
        <f t="shared" si="10"/>
        <v>0</v>
      </c>
      <c r="S205">
        <f t="shared" si="11"/>
        <v>2</v>
      </c>
    </row>
    <row r="206" spans="1:19" ht="15">
      <c r="A206" s="9">
        <f t="shared" si="9"/>
        <v>34</v>
      </c>
      <c r="B206" s="3">
        <v>1317</v>
      </c>
      <c r="C206" s="3">
        <v>1</v>
      </c>
      <c r="D206" s="3" t="s">
        <v>17</v>
      </c>
      <c r="F206" s="10">
        <v>0</v>
      </c>
      <c r="G206" s="10">
        <v>1</v>
      </c>
      <c r="H206" s="4">
        <v>0</v>
      </c>
      <c r="I206" s="4">
        <v>0</v>
      </c>
      <c r="J206" s="4">
        <v>0</v>
      </c>
      <c r="K206" s="5">
        <v>0</v>
      </c>
      <c r="L206" s="5">
        <v>1</v>
      </c>
      <c r="M206" s="5">
        <v>0</v>
      </c>
      <c r="Q206" s="6">
        <v>0</v>
      </c>
      <c r="R206">
        <f t="shared" si="10"/>
        <v>1</v>
      </c>
      <c r="S206">
        <f t="shared" si="11"/>
        <v>0</v>
      </c>
    </row>
    <row r="207" spans="1:19" ht="15">
      <c r="A207" s="9">
        <f t="shared" si="9"/>
        <v>34</v>
      </c>
      <c r="B207" s="3">
        <v>2544</v>
      </c>
      <c r="C207" s="3">
        <v>1</v>
      </c>
      <c r="D207" s="3" t="s">
        <v>17</v>
      </c>
      <c r="F207" s="10">
        <v>0</v>
      </c>
      <c r="H207" s="4">
        <v>0</v>
      </c>
      <c r="I207" s="4">
        <v>0</v>
      </c>
      <c r="J207" s="4">
        <v>0</v>
      </c>
      <c r="K207" s="5">
        <v>1</v>
      </c>
      <c r="L207" s="5">
        <v>0</v>
      </c>
      <c r="M207" s="5">
        <v>0</v>
      </c>
      <c r="Q207" s="6">
        <v>0</v>
      </c>
      <c r="R207">
        <f t="shared" si="10"/>
        <v>0</v>
      </c>
      <c r="S207">
        <f t="shared" si="11"/>
        <v>0</v>
      </c>
    </row>
    <row r="208" spans="1:19" ht="15">
      <c r="A208" s="9">
        <f t="shared" si="9"/>
        <v>35</v>
      </c>
      <c r="B208" s="3">
        <v>222</v>
      </c>
      <c r="C208" s="3">
        <v>1</v>
      </c>
      <c r="D208" s="3" t="s">
        <v>16</v>
      </c>
      <c r="F208" s="10">
        <v>0</v>
      </c>
      <c r="H208" s="4">
        <v>0</v>
      </c>
      <c r="I208" s="4">
        <v>0</v>
      </c>
      <c r="J208" s="4">
        <v>0</v>
      </c>
      <c r="K208" s="5">
        <v>3</v>
      </c>
      <c r="L208" s="5">
        <v>2</v>
      </c>
      <c r="M208" s="5">
        <v>0</v>
      </c>
      <c r="P208" s="2">
        <v>2</v>
      </c>
      <c r="Q208" s="6">
        <v>0</v>
      </c>
      <c r="R208">
        <f t="shared" si="10"/>
        <v>4</v>
      </c>
      <c r="S208">
        <f t="shared" si="11"/>
        <v>0</v>
      </c>
    </row>
    <row r="209" spans="1:19" ht="15">
      <c r="A209" s="9">
        <f t="shared" si="9"/>
        <v>35</v>
      </c>
      <c r="B209" s="3">
        <v>1114</v>
      </c>
      <c r="C209" s="3">
        <v>1</v>
      </c>
      <c r="D209" s="3" t="s">
        <v>16</v>
      </c>
      <c r="F209" s="10">
        <v>0</v>
      </c>
      <c r="H209" s="4">
        <v>3</v>
      </c>
      <c r="I209" s="4">
        <v>2</v>
      </c>
      <c r="J209" s="4">
        <v>1</v>
      </c>
      <c r="K209" s="5">
        <v>0</v>
      </c>
      <c r="L209" s="5">
        <v>4</v>
      </c>
      <c r="M209" s="5">
        <v>5</v>
      </c>
      <c r="P209" s="2">
        <v>2</v>
      </c>
      <c r="Q209" s="6">
        <v>0</v>
      </c>
      <c r="R209">
        <f t="shared" si="10"/>
        <v>7</v>
      </c>
      <c r="S209">
        <f t="shared" si="11"/>
        <v>7</v>
      </c>
    </row>
    <row r="210" spans="1:19" ht="15">
      <c r="A210" s="9">
        <f t="shared" si="9"/>
        <v>35</v>
      </c>
      <c r="B210" s="3">
        <v>128</v>
      </c>
      <c r="C210" s="3">
        <v>1</v>
      </c>
      <c r="D210" s="3" t="s">
        <v>16</v>
      </c>
      <c r="F210" s="10">
        <v>0</v>
      </c>
      <c r="H210" s="4">
        <v>0</v>
      </c>
      <c r="I210" s="4">
        <v>0</v>
      </c>
      <c r="J210" s="4">
        <v>0</v>
      </c>
      <c r="K210" s="5">
        <v>0</v>
      </c>
      <c r="L210" s="5">
        <v>0</v>
      </c>
      <c r="M210" s="5">
        <v>0</v>
      </c>
      <c r="Q210" s="6">
        <v>0</v>
      </c>
      <c r="R210">
        <f t="shared" si="10"/>
        <v>0</v>
      </c>
      <c r="S210">
        <f t="shared" si="11"/>
        <v>0</v>
      </c>
    </row>
    <row r="211" spans="1:19" ht="15">
      <c r="A211" s="9">
        <f t="shared" si="9"/>
        <v>35</v>
      </c>
      <c r="B211" s="3">
        <v>337</v>
      </c>
      <c r="C211" s="3">
        <v>1</v>
      </c>
      <c r="D211" s="3" t="s">
        <v>17</v>
      </c>
      <c r="F211" s="10">
        <v>0</v>
      </c>
      <c r="H211" s="4">
        <v>0</v>
      </c>
      <c r="I211" s="4">
        <v>0</v>
      </c>
      <c r="J211" s="4">
        <v>0</v>
      </c>
      <c r="K211" s="5">
        <v>0</v>
      </c>
      <c r="L211" s="5">
        <v>0</v>
      </c>
      <c r="M211" s="5">
        <v>2</v>
      </c>
      <c r="Q211" s="6">
        <v>0</v>
      </c>
      <c r="R211">
        <f t="shared" si="10"/>
        <v>0</v>
      </c>
      <c r="S211">
        <f t="shared" si="11"/>
        <v>2</v>
      </c>
    </row>
    <row r="212" spans="1:19" ht="15">
      <c r="A212" s="9">
        <f t="shared" si="9"/>
        <v>35</v>
      </c>
      <c r="B212" s="3">
        <v>2603</v>
      </c>
      <c r="C212" s="3">
        <v>1</v>
      </c>
      <c r="D212" s="3" t="s">
        <v>17</v>
      </c>
      <c r="F212" s="10">
        <v>0</v>
      </c>
      <c r="H212" s="4">
        <v>0</v>
      </c>
      <c r="I212" s="4">
        <v>0</v>
      </c>
      <c r="J212" s="4">
        <v>0</v>
      </c>
      <c r="K212" s="5">
        <v>3</v>
      </c>
      <c r="L212" s="5">
        <v>0</v>
      </c>
      <c r="M212" s="5">
        <v>0</v>
      </c>
      <c r="Q212" s="6">
        <v>0</v>
      </c>
      <c r="R212">
        <f t="shared" si="10"/>
        <v>0</v>
      </c>
      <c r="S212">
        <f t="shared" si="11"/>
        <v>0</v>
      </c>
    </row>
    <row r="213" spans="1:19" ht="15">
      <c r="A213" s="9">
        <f t="shared" si="9"/>
        <v>35</v>
      </c>
      <c r="B213" s="3">
        <v>306</v>
      </c>
      <c r="C213" s="3">
        <v>1</v>
      </c>
      <c r="D213" s="3" t="s">
        <v>17</v>
      </c>
      <c r="F213" s="10">
        <v>0</v>
      </c>
      <c r="H213" s="4">
        <v>0</v>
      </c>
      <c r="I213" s="4">
        <v>0</v>
      </c>
      <c r="J213" s="4">
        <v>0</v>
      </c>
      <c r="K213" s="5">
        <v>0</v>
      </c>
      <c r="L213" s="5">
        <v>0</v>
      </c>
      <c r="M213" s="5">
        <v>2</v>
      </c>
      <c r="Q213" s="6">
        <v>0</v>
      </c>
      <c r="R213">
        <f t="shared" si="10"/>
        <v>0</v>
      </c>
      <c r="S213">
        <f t="shared" si="11"/>
        <v>2</v>
      </c>
    </row>
    <row r="385" spans="21:22" ht="15">
      <c r="U385">
        <f>L9+L49+L92+L103+L149+L160</f>
        <v>17</v>
      </c>
      <c r="V385">
        <f>17/6</f>
        <v>2.8333333333333335</v>
      </c>
    </row>
    <row r="387" spans="19:20" ht="15">
      <c r="S387">
        <f>AVERAGE(L33+L47+L87+L121+L155+L186+L197)</f>
        <v>22</v>
      </c>
      <c r="T387">
        <f>22/7</f>
        <v>3.142857142857143</v>
      </c>
    </row>
  </sheetData>
  <sheetProtection/>
  <autoFilter ref="A3:P375"/>
  <mergeCells count="3">
    <mergeCell ref="H1:J1"/>
    <mergeCell ref="N2:O2"/>
    <mergeCell ref="K1:P1"/>
  </mergeCells>
  <dataValidations count="8">
    <dataValidation type="list" allowBlank="1" showInputMessage="1" showErrorMessage="1" sqref="P376:P65536">
      <formula1>"Yes, No"</formula1>
    </dataValidation>
    <dataValidation type="list" allowBlank="1" showInputMessage="1" showErrorMessage="1" sqref="D4:D65536">
      <formula1>"Red, Blue"</formula1>
    </dataValidation>
    <dataValidation type="whole" allowBlank="1" showInputMessage="1" showErrorMessage="1" sqref="H4:J65536">
      <formula1>0</formula1>
      <formula2>10</formula2>
    </dataValidation>
    <dataValidation type="whole" allowBlank="1" showInputMessage="1" showErrorMessage="1" sqref="K4:O65536 Q4:Q65536">
      <formula1>0</formula1>
      <formula2>100</formula2>
    </dataValidation>
    <dataValidation type="list" operator="equal" allowBlank="1" showInputMessage="1" showErrorMessage="1" sqref="P4:P375">
      <formula1>"0,2,3"</formula1>
    </dataValidation>
    <dataValidation type="list" allowBlank="1" showInputMessage="1" showErrorMessage="1" sqref="F1:F65536">
      <formula1>"None, Yellow, Red,0,1,2"</formula1>
    </dataValidation>
    <dataValidation type="list" allowBlank="1" showInputMessage="1" showErrorMessage="1" sqref="G1:G65536 C1:C65536">
      <formula1>"0,1"</formula1>
    </dataValidation>
    <dataValidation type="list" allowBlank="1" showInputMessage="1" showErrorMessage="1" sqref="E1:E65536">
      <formula1>"off,def,mid"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T220"/>
  <sheetViews>
    <sheetView zoomScale="85" zoomScaleNormal="85" zoomScalePageLayoutView="0" workbookViewId="0" topLeftCell="D1">
      <selection activeCell="AC7" sqref="AC7"/>
    </sheetView>
  </sheetViews>
  <sheetFormatPr defaultColWidth="8.8515625" defaultRowHeight="15"/>
  <cols>
    <col min="3" max="3" width="9.8515625" style="0" customWidth="1"/>
    <col min="4" max="4" width="11.7109375" style="0" customWidth="1"/>
    <col min="5" max="5" width="12.8515625" style="0" customWidth="1"/>
    <col min="6" max="6" width="4.8515625" style="0" customWidth="1"/>
    <col min="7" max="7" width="8.7109375" style="0" customWidth="1"/>
    <col min="8" max="8" width="10.28125" style="0" customWidth="1"/>
    <col min="9" max="9" width="9.421875" style="0" customWidth="1"/>
    <col min="10" max="10" width="10.00390625" style="0" customWidth="1"/>
    <col min="11" max="12" width="10.28125" style="0" customWidth="1"/>
    <col min="13" max="14" width="7.57421875" style="0" customWidth="1"/>
    <col min="15" max="15" width="7.8515625" style="0" customWidth="1"/>
    <col min="16" max="16" width="7.57421875" style="0" customWidth="1"/>
    <col min="17" max="17" width="6.57421875" style="0" customWidth="1"/>
    <col min="18" max="18" width="5.00390625" style="0" customWidth="1"/>
    <col min="19" max="19" width="6.57421875" style="0" customWidth="1"/>
    <col min="21" max="21" width="9.00390625" style="0" customWidth="1"/>
    <col min="22" max="22" width="9.140625" style="0" customWidth="1"/>
    <col min="27" max="27" width="15.8515625" style="0" customWidth="1"/>
  </cols>
  <sheetData>
    <row r="2" spans="5:17" ht="15">
      <c r="E2" t="s">
        <v>3</v>
      </c>
      <c r="F2" t="s">
        <v>3</v>
      </c>
      <c r="G2" t="s">
        <v>39</v>
      </c>
      <c r="H2" t="s">
        <v>24</v>
      </c>
      <c r="I2" t="s">
        <v>25</v>
      </c>
      <c r="J2" t="s">
        <v>38</v>
      </c>
      <c r="K2" t="s">
        <v>27</v>
      </c>
      <c r="L2" t="s">
        <v>28</v>
      </c>
      <c r="M2" t="s">
        <v>46</v>
      </c>
      <c r="N2" t="s">
        <v>18</v>
      </c>
      <c r="O2" t="s">
        <v>9</v>
      </c>
      <c r="P2" t="s">
        <v>10</v>
      </c>
      <c r="Q2" t="s">
        <v>45</v>
      </c>
    </row>
    <row r="3" spans="5:27" ht="15">
      <c r="E3">
        <f>E7</f>
        <v>1114</v>
      </c>
      <c r="F3">
        <f>E7</f>
        <v>1114</v>
      </c>
      <c r="G3">
        <f>AVERAGE(U6:U22)</f>
        <v>6.714285714285714</v>
      </c>
      <c r="H3">
        <f>MAX(U6:U26)</f>
        <v>9</v>
      </c>
      <c r="I3">
        <f>MIN(U6:U24)</f>
        <v>2</v>
      </c>
      <c r="J3">
        <f>AVERAGE(V6:V23)</f>
        <v>4.285714285714286</v>
      </c>
      <c r="K3">
        <f>MAX(V6:V26)</f>
        <v>7</v>
      </c>
      <c r="L3">
        <f>MIN(V6:V24)</f>
        <v>2</v>
      </c>
      <c r="M3">
        <f>SUM(I6:I28)</f>
        <v>0</v>
      </c>
      <c r="N3">
        <f>SUM(J6:J22)</f>
        <v>0</v>
      </c>
      <c r="O3">
        <f>SUM(Q6:Q17)</f>
        <v>0</v>
      </c>
      <c r="P3">
        <f>SUM(R6:R17)</f>
        <v>0</v>
      </c>
      <c r="Q3">
        <f>G3*6+H3+I3+J3*4+K3+L3-(((M3*M3*3)+(N3*N3*3)+(O3*O3*2)))</f>
        <v>77.42857142857143</v>
      </c>
      <c r="AA3" s="28" t="s">
        <v>20</v>
      </c>
    </row>
    <row r="4" spans="4:25" ht="15">
      <c r="D4" t="s">
        <v>47</v>
      </c>
      <c r="H4">
        <f>E6</f>
        <v>1114</v>
      </c>
      <c r="I4">
        <f aca="true" t="shared" si="0" ref="I4:V4">AVERAGE(I6:I26)</f>
        <v>0</v>
      </c>
      <c r="J4">
        <f t="shared" si="0"/>
        <v>0</v>
      </c>
      <c r="K4">
        <f t="shared" si="0"/>
        <v>3</v>
      </c>
      <c r="L4">
        <f t="shared" si="0"/>
        <v>2</v>
      </c>
      <c r="M4">
        <f t="shared" si="0"/>
        <v>1</v>
      </c>
      <c r="N4">
        <f t="shared" si="0"/>
        <v>1.8571428571428572</v>
      </c>
      <c r="O4">
        <f t="shared" si="0"/>
        <v>4.571428571428571</v>
      </c>
      <c r="P4">
        <f t="shared" si="0"/>
        <v>2.2857142857142856</v>
      </c>
      <c r="Q4">
        <f t="shared" si="0"/>
        <v>0</v>
      </c>
      <c r="R4">
        <f t="shared" si="0"/>
        <v>0</v>
      </c>
      <c r="S4">
        <f t="shared" si="0"/>
        <v>1.4285714285714286</v>
      </c>
      <c r="T4">
        <f t="shared" si="0"/>
        <v>0.2857142857142857</v>
      </c>
      <c r="U4">
        <f t="shared" si="0"/>
        <v>6.714285714285714</v>
      </c>
      <c r="V4">
        <f t="shared" si="0"/>
        <v>4.285714285714286</v>
      </c>
      <c r="Y4" t="s">
        <v>44</v>
      </c>
    </row>
    <row r="5" spans="4:46" ht="15.75" thickBot="1">
      <c r="D5" s="11" t="s">
        <v>1</v>
      </c>
      <c r="E5" s="12" t="s">
        <v>2</v>
      </c>
      <c r="F5" s="12" t="s">
        <v>43</v>
      </c>
      <c r="G5" s="12" t="s">
        <v>3</v>
      </c>
      <c r="H5" s="31" t="s">
        <v>33</v>
      </c>
      <c r="I5" s="13" t="s">
        <v>15</v>
      </c>
      <c r="J5" s="25" t="s">
        <v>18</v>
      </c>
      <c r="K5" s="21" t="s">
        <v>5</v>
      </c>
      <c r="L5" s="21" t="s">
        <v>6</v>
      </c>
      <c r="M5" s="21" t="s">
        <v>7</v>
      </c>
      <c r="N5" s="22" t="s">
        <v>35</v>
      </c>
      <c r="O5" s="22" t="s">
        <v>36</v>
      </c>
      <c r="P5" s="22" t="s">
        <v>37</v>
      </c>
      <c r="Q5" s="7" t="s">
        <v>9</v>
      </c>
      <c r="R5" s="7" t="s">
        <v>10</v>
      </c>
      <c r="S5" s="8" t="s">
        <v>19</v>
      </c>
      <c r="T5" s="18" t="s">
        <v>12</v>
      </c>
      <c r="U5" s="29" t="s">
        <v>21</v>
      </c>
      <c r="V5" s="29" t="s">
        <v>22</v>
      </c>
      <c r="X5">
        <v>63</v>
      </c>
      <c r="Y5">
        <v>63</v>
      </c>
      <c r="AB5" s="11" t="s">
        <v>1</v>
      </c>
      <c r="AC5" s="12" t="s">
        <v>2</v>
      </c>
      <c r="AD5" s="12" t="s">
        <v>43</v>
      </c>
      <c r="AE5" s="12" t="s">
        <v>3</v>
      </c>
      <c r="AF5" s="31" t="s">
        <v>33</v>
      </c>
      <c r="AG5" s="13" t="s">
        <v>15</v>
      </c>
      <c r="AH5" s="25" t="s">
        <v>18</v>
      </c>
      <c r="AI5" s="21" t="s">
        <v>5</v>
      </c>
      <c r="AJ5" s="21" t="s">
        <v>6</v>
      </c>
      <c r="AK5" s="21" t="s">
        <v>7</v>
      </c>
      <c r="AL5" s="22" t="s">
        <v>5</v>
      </c>
      <c r="AM5" s="22" t="s">
        <v>7</v>
      </c>
      <c r="AN5" s="22" t="s">
        <v>6</v>
      </c>
      <c r="AO5" s="7" t="s">
        <v>9</v>
      </c>
      <c r="AP5" s="7" t="s">
        <v>10</v>
      </c>
      <c r="AQ5" s="8" t="s">
        <v>19</v>
      </c>
      <c r="AR5" s="18" t="s">
        <v>12</v>
      </c>
      <c r="AS5" s="29" t="s">
        <v>21</v>
      </c>
      <c r="AT5" s="29" t="s">
        <v>22</v>
      </c>
    </row>
    <row r="6" spans="1:30" ht="15">
      <c r="A6" s="29"/>
      <c r="B6" s="29"/>
      <c r="C6" s="29"/>
      <c r="D6">
        <v>5</v>
      </c>
      <c r="E6">
        <v>1114</v>
      </c>
      <c r="F6">
        <v>1</v>
      </c>
      <c r="G6" t="s">
        <v>14</v>
      </c>
      <c r="H6">
        <v>0</v>
      </c>
      <c r="I6">
        <v>0</v>
      </c>
      <c r="J6">
        <v>0</v>
      </c>
      <c r="K6">
        <v>3</v>
      </c>
      <c r="L6">
        <v>2</v>
      </c>
      <c r="M6">
        <v>1</v>
      </c>
      <c r="N6">
        <v>1</v>
      </c>
      <c r="O6">
        <v>6</v>
      </c>
      <c r="P6">
        <v>2</v>
      </c>
      <c r="Q6">
        <v>0</v>
      </c>
      <c r="R6">
        <v>0</v>
      </c>
      <c r="S6">
        <v>2</v>
      </c>
      <c r="T6">
        <v>0</v>
      </c>
      <c r="U6">
        <v>9</v>
      </c>
      <c r="V6">
        <v>4</v>
      </c>
      <c r="X6">
        <v>117</v>
      </c>
      <c r="Y6">
        <v>117</v>
      </c>
      <c r="Z6" s="27"/>
      <c r="AC6">
        <v>1114</v>
      </c>
      <c r="AD6" s="28">
        <v>1</v>
      </c>
    </row>
    <row r="7" spans="4:25" ht="15">
      <c r="D7">
        <v>9</v>
      </c>
      <c r="E7">
        <v>1114</v>
      </c>
      <c r="F7">
        <v>1</v>
      </c>
      <c r="G7" t="s">
        <v>13</v>
      </c>
      <c r="H7">
        <v>0</v>
      </c>
      <c r="I7">
        <v>0</v>
      </c>
      <c r="J7">
        <v>0</v>
      </c>
      <c r="K7">
        <v>3</v>
      </c>
      <c r="L7">
        <v>2</v>
      </c>
      <c r="M7">
        <v>1</v>
      </c>
      <c r="N7">
        <v>7</v>
      </c>
      <c r="O7">
        <v>5</v>
      </c>
      <c r="P7">
        <v>0</v>
      </c>
      <c r="Q7">
        <v>0</v>
      </c>
      <c r="R7">
        <v>0</v>
      </c>
      <c r="S7">
        <v>2</v>
      </c>
      <c r="T7">
        <v>0</v>
      </c>
      <c r="U7">
        <v>8</v>
      </c>
      <c r="V7">
        <v>2</v>
      </c>
      <c r="X7">
        <v>128</v>
      </c>
      <c r="Y7">
        <v>128</v>
      </c>
    </row>
    <row r="8" spans="4:25" ht="15">
      <c r="D8">
        <v>12</v>
      </c>
      <c r="E8">
        <v>1114</v>
      </c>
      <c r="F8">
        <v>1</v>
      </c>
      <c r="G8" t="s">
        <v>14</v>
      </c>
      <c r="H8">
        <v>0</v>
      </c>
      <c r="I8">
        <v>0</v>
      </c>
      <c r="J8">
        <v>0</v>
      </c>
      <c r="K8">
        <v>3</v>
      </c>
      <c r="L8">
        <v>2</v>
      </c>
      <c r="M8">
        <v>1</v>
      </c>
      <c r="N8">
        <v>3</v>
      </c>
      <c r="O8">
        <v>4</v>
      </c>
      <c r="P8">
        <v>5</v>
      </c>
      <c r="Q8">
        <v>0</v>
      </c>
      <c r="R8">
        <v>0</v>
      </c>
      <c r="S8">
        <v>0</v>
      </c>
      <c r="T8">
        <v>0</v>
      </c>
      <c r="U8">
        <v>5</v>
      </c>
      <c r="V8">
        <v>7</v>
      </c>
      <c r="X8">
        <v>222</v>
      </c>
      <c r="Y8">
        <v>222</v>
      </c>
    </row>
    <row r="9" spans="4:44" ht="15.75" thickBot="1">
      <c r="D9">
        <v>21</v>
      </c>
      <c r="E9">
        <v>1114</v>
      </c>
      <c r="F9">
        <v>1</v>
      </c>
      <c r="G9" t="s">
        <v>13</v>
      </c>
      <c r="H9">
        <v>0</v>
      </c>
      <c r="I9">
        <v>0</v>
      </c>
      <c r="J9">
        <v>0</v>
      </c>
      <c r="K9">
        <v>3</v>
      </c>
      <c r="L9">
        <v>2</v>
      </c>
      <c r="M9">
        <v>1</v>
      </c>
      <c r="N9">
        <v>1</v>
      </c>
      <c r="O9">
        <v>6</v>
      </c>
      <c r="P9">
        <v>0</v>
      </c>
      <c r="Q9">
        <v>0</v>
      </c>
      <c r="R9">
        <v>0</v>
      </c>
      <c r="S9">
        <v>2</v>
      </c>
      <c r="T9">
        <v>1</v>
      </c>
      <c r="U9">
        <v>8</v>
      </c>
      <c r="V9">
        <v>2</v>
      </c>
      <c r="X9">
        <v>306</v>
      </c>
      <c r="Y9">
        <v>306</v>
      </c>
      <c r="AB9" s="11"/>
      <c r="AC9" s="12"/>
      <c r="AD9" s="12"/>
      <c r="AE9" s="12"/>
      <c r="AF9" s="31"/>
      <c r="AG9" s="13"/>
      <c r="AH9" s="25"/>
      <c r="AI9" s="21"/>
      <c r="AJ9" s="21"/>
      <c r="AK9" s="21"/>
      <c r="AL9" s="22"/>
      <c r="AM9" s="22"/>
      <c r="AN9" s="22"/>
      <c r="AO9" s="7"/>
      <c r="AP9" s="7"/>
      <c r="AQ9" s="8"/>
      <c r="AR9" s="18"/>
    </row>
    <row r="10" spans="4:46" ht="15.75" thickBot="1">
      <c r="D10">
        <v>24</v>
      </c>
      <c r="E10">
        <v>1114</v>
      </c>
      <c r="F10">
        <v>1</v>
      </c>
      <c r="G10" t="s">
        <v>14</v>
      </c>
      <c r="H10">
        <v>0</v>
      </c>
      <c r="I10">
        <v>0</v>
      </c>
      <c r="J10">
        <v>0</v>
      </c>
      <c r="K10">
        <v>3</v>
      </c>
      <c r="L10">
        <v>2</v>
      </c>
      <c r="M10">
        <v>1</v>
      </c>
      <c r="N10">
        <v>1</v>
      </c>
      <c r="O10">
        <v>5</v>
      </c>
      <c r="P10">
        <v>3</v>
      </c>
      <c r="Q10">
        <v>0</v>
      </c>
      <c r="R10">
        <v>0</v>
      </c>
      <c r="S10">
        <v>2</v>
      </c>
      <c r="T10">
        <v>0</v>
      </c>
      <c r="U10">
        <v>8</v>
      </c>
      <c r="V10">
        <v>5</v>
      </c>
      <c r="X10">
        <v>337</v>
      </c>
      <c r="Y10">
        <v>337</v>
      </c>
      <c r="AB10" s="11" t="s">
        <v>1</v>
      </c>
      <c r="AC10" s="12" t="s">
        <v>2</v>
      </c>
      <c r="AD10" s="12" t="s">
        <v>43</v>
      </c>
      <c r="AE10" s="12" t="s">
        <v>3</v>
      </c>
      <c r="AF10" s="31" t="s">
        <v>33</v>
      </c>
      <c r="AG10" s="13" t="s">
        <v>15</v>
      </c>
      <c r="AH10" s="25" t="s">
        <v>18</v>
      </c>
      <c r="AI10" s="21" t="s">
        <v>5</v>
      </c>
      <c r="AJ10" s="21" t="s">
        <v>6</v>
      </c>
      <c r="AK10" s="21" t="s">
        <v>7</v>
      </c>
      <c r="AL10" s="22" t="s">
        <v>35</v>
      </c>
      <c r="AM10" s="22" t="s">
        <v>36</v>
      </c>
      <c r="AN10" s="22" t="s">
        <v>37</v>
      </c>
      <c r="AO10" s="7" t="s">
        <v>9</v>
      </c>
      <c r="AP10" s="7" t="s">
        <v>10</v>
      </c>
      <c r="AQ10" s="8" t="s">
        <v>19</v>
      </c>
      <c r="AR10" s="18" t="s">
        <v>12</v>
      </c>
      <c r="AS10" s="29" t="s">
        <v>21</v>
      </c>
      <c r="AT10" s="29" t="s">
        <v>22</v>
      </c>
    </row>
    <row r="11" spans="4:46" ht="15">
      <c r="D11">
        <v>30</v>
      </c>
      <c r="E11">
        <v>1114</v>
      </c>
      <c r="F11">
        <v>1</v>
      </c>
      <c r="G11" t="s">
        <v>14</v>
      </c>
      <c r="H11">
        <v>0</v>
      </c>
      <c r="I11">
        <v>0</v>
      </c>
      <c r="J11">
        <v>0</v>
      </c>
      <c r="K11">
        <v>3</v>
      </c>
      <c r="L11">
        <v>2</v>
      </c>
      <c r="M11">
        <v>1</v>
      </c>
      <c r="N11">
        <v>0</v>
      </c>
      <c r="O11">
        <v>2</v>
      </c>
      <c r="P11">
        <v>1</v>
      </c>
      <c r="Q11">
        <v>0</v>
      </c>
      <c r="R11">
        <v>0</v>
      </c>
      <c r="S11">
        <v>0</v>
      </c>
      <c r="T11">
        <v>1</v>
      </c>
      <c r="U11">
        <v>2</v>
      </c>
      <c r="V11">
        <v>3</v>
      </c>
      <c r="X11">
        <v>433</v>
      </c>
      <c r="Y11">
        <v>433</v>
      </c>
      <c r="AB11">
        <f>'Raw Data'!A4</f>
        <v>1</v>
      </c>
      <c r="AC11">
        <f>'Raw Data'!B4</f>
        <v>2603</v>
      </c>
      <c r="AD11">
        <f>'Raw Data'!C4</f>
        <v>1</v>
      </c>
      <c r="AE11" t="str">
        <f>'Raw Data'!D4</f>
        <v>Red</v>
      </c>
      <c r="AF11">
        <f>'Raw Data'!E4</f>
        <v>0</v>
      </c>
      <c r="AG11">
        <f>'Raw Data'!F4</f>
        <v>0</v>
      </c>
      <c r="AH11">
        <f>'Raw Data'!G4</f>
        <v>0</v>
      </c>
      <c r="AI11">
        <f>'Raw Data'!H4</f>
        <v>0</v>
      </c>
      <c r="AJ11">
        <f>'Raw Data'!I4</f>
        <v>0</v>
      </c>
      <c r="AK11">
        <f>'Raw Data'!J4</f>
        <v>0</v>
      </c>
      <c r="AL11">
        <f>'Raw Data'!K4</f>
        <v>0</v>
      </c>
      <c r="AM11">
        <f>'Raw Data'!L4</f>
        <v>0</v>
      </c>
      <c r="AN11">
        <f>'Raw Data'!M4</f>
        <v>0</v>
      </c>
      <c r="AO11">
        <f>'Raw Data'!N4</f>
        <v>0</v>
      </c>
      <c r="AP11">
        <f>'Raw Data'!O4</f>
        <v>0</v>
      </c>
      <c r="AQ11">
        <f>'Raw Data'!P4</f>
        <v>0</v>
      </c>
      <c r="AR11">
        <f>'Raw Data'!Q4</f>
        <v>2</v>
      </c>
      <c r="AS11">
        <f>'Raw Data'!R4</f>
        <v>-2</v>
      </c>
      <c r="AT11">
        <f>'Raw Data'!S4</f>
        <v>0</v>
      </c>
    </row>
    <row r="12" spans="4:46" ht="15">
      <c r="D12">
        <v>35</v>
      </c>
      <c r="E12">
        <v>1114</v>
      </c>
      <c r="F12">
        <v>1</v>
      </c>
      <c r="G12" t="s">
        <v>13</v>
      </c>
      <c r="H12">
        <v>0</v>
      </c>
      <c r="I12">
        <v>0</v>
      </c>
      <c r="J12">
        <v>0</v>
      </c>
      <c r="K12">
        <v>3</v>
      </c>
      <c r="L12">
        <v>2</v>
      </c>
      <c r="M12">
        <v>1</v>
      </c>
      <c r="N12">
        <v>0</v>
      </c>
      <c r="O12">
        <v>4</v>
      </c>
      <c r="P12">
        <v>5</v>
      </c>
      <c r="Q12">
        <v>0</v>
      </c>
      <c r="R12">
        <v>0</v>
      </c>
      <c r="S12">
        <v>2</v>
      </c>
      <c r="T12">
        <v>0</v>
      </c>
      <c r="U12">
        <v>7</v>
      </c>
      <c r="V12">
        <v>7</v>
      </c>
      <c r="X12">
        <v>451</v>
      </c>
      <c r="Y12">
        <v>451</v>
      </c>
      <c r="AB12">
        <f>'Raw Data'!A5</f>
        <v>1</v>
      </c>
      <c r="AC12">
        <f>'Raw Data'!B5</f>
        <v>128</v>
      </c>
      <c r="AD12">
        <f>'Raw Data'!C5</f>
        <v>1</v>
      </c>
      <c r="AE12" t="str">
        <f>'Raw Data'!D5</f>
        <v>Red</v>
      </c>
      <c r="AF12" t="str">
        <f>'Raw Data'!E5</f>
        <v>def</v>
      </c>
      <c r="AG12">
        <f>'Raw Data'!F5</f>
        <v>0</v>
      </c>
      <c r="AH12">
        <f>'Raw Data'!G5</f>
        <v>0</v>
      </c>
      <c r="AI12">
        <f>'Raw Data'!H5</f>
        <v>0</v>
      </c>
      <c r="AJ12">
        <f>'Raw Data'!I5</f>
        <v>0</v>
      </c>
      <c r="AK12">
        <f>'Raw Data'!J5</f>
        <v>0</v>
      </c>
      <c r="AL12">
        <f>'Raw Data'!K5</f>
        <v>0</v>
      </c>
      <c r="AM12">
        <f>'Raw Data'!L5</f>
        <v>0</v>
      </c>
      <c r="AN12">
        <f>'Raw Data'!M5</f>
        <v>0</v>
      </c>
      <c r="AO12">
        <f>'Raw Data'!N5</f>
        <v>0</v>
      </c>
      <c r="AP12">
        <f>'Raw Data'!O5</f>
        <v>0</v>
      </c>
      <c r="AQ12">
        <f>'Raw Data'!P5</f>
        <v>0</v>
      </c>
      <c r="AR12">
        <f>'Raw Data'!Q5</f>
        <v>0</v>
      </c>
      <c r="AS12">
        <f>'Raw Data'!R5</f>
        <v>0</v>
      </c>
      <c r="AT12">
        <f>'Raw Data'!S5</f>
        <v>0</v>
      </c>
    </row>
    <row r="13" spans="24:46" ht="15">
      <c r="X13">
        <v>1038</v>
      </c>
      <c r="Y13">
        <v>1038</v>
      </c>
      <c r="AB13">
        <f>'Raw Data'!A6</f>
        <v>1</v>
      </c>
      <c r="AC13">
        <f>'Raw Data'!B6</f>
        <v>2252</v>
      </c>
      <c r="AD13">
        <f>'Raw Data'!C6</f>
        <v>1</v>
      </c>
      <c r="AE13" t="str">
        <f>'Raw Data'!D6</f>
        <v>Red</v>
      </c>
      <c r="AF13">
        <f>'Raw Data'!E6</f>
        <v>0</v>
      </c>
      <c r="AG13">
        <f>'Raw Data'!F6</f>
        <v>0</v>
      </c>
      <c r="AH13">
        <f>'Raw Data'!G6</f>
        <v>0</v>
      </c>
      <c r="AI13">
        <f>'Raw Data'!H6</f>
        <v>0</v>
      </c>
      <c r="AJ13">
        <f>'Raw Data'!I6</f>
        <v>0</v>
      </c>
      <c r="AK13">
        <f>'Raw Data'!J6</f>
        <v>0</v>
      </c>
      <c r="AL13">
        <f>'Raw Data'!K6</f>
        <v>3</v>
      </c>
      <c r="AM13">
        <f>'Raw Data'!L6</f>
        <v>0</v>
      </c>
      <c r="AN13">
        <f>'Raw Data'!M6</f>
        <v>0</v>
      </c>
      <c r="AO13">
        <f>'Raw Data'!N6</f>
        <v>0</v>
      </c>
      <c r="AP13">
        <f>'Raw Data'!O6</f>
        <v>0</v>
      </c>
      <c r="AQ13">
        <f>'Raw Data'!P6</f>
        <v>0</v>
      </c>
      <c r="AR13">
        <f>'Raw Data'!Q6</f>
        <v>0</v>
      </c>
      <c r="AS13">
        <f>'Raw Data'!R6</f>
        <v>0</v>
      </c>
      <c r="AT13">
        <f>'Raw Data'!S6</f>
        <v>0</v>
      </c>
    </row>
    <row r="14" spans="24:46" ht="15">
      <c r="X14">
        <v>1114</v>
      </c>
      <c r="Y14">
        <v>1114</v>
      </c>
      <c r="AB14">
        <f>'Raw Data'!A7</f>
        <v>1</v>
      </c>
      <c r="AC14">
        <f>'Raw Data'!B7</f>
        <v>2279</v>
      </c>
      <c r="AD14">
        <f>'Raw Data'!C7</f>
        <v>1</v>
      </c>
      <c r="AE14" t="str">
        <f>'Raw Data'!D7</f>
        <v>Blue</v>
      </c>
      <c r="AF14">
        <f>'Raw Data'!E7</f>
        <v>0</v>
      </c>
      <c r="AG14">
        <f>'Raw Data'!F7</f>
        <v>0</v>
      </c>
      <c r="AH14">
        <f>'Raw Data'!G7</f>
        <v>0</v>
      </c>
      <c r="AI14">
        <f>'Raw Data'!H7</f>
        <v>0</v>
      </c>
      <c r="AJ14">
        <f>'Raw Data'!I7</f>
        <v>0</v>
      </c>
      <c r="AK14">
        <f>'Raw Data'!J7</f>
        <v>0</v>
      </c>
      <c r="AL14">
        <f>'Raw Data'!K7</f>
        <v>0</v>
      </c>
      <c r="AM14">
        <f>'Raw Data'!L7</f>
        <v>0</v>
      </c>
      <c r="AN14">
        <f>'Raw Data'!M7</f>
        <v>0</v>
      </c>
      <c r="AO14">
        <f>'Raw Data'!N7</f>
        <v>0</v>
      </c>
      <c r="AP14">
        <f>'Raw Data'!O7</f>
        <v>0</v>
      </c>
      <c r="AQ14">
        <f>'Raw Data'!P7</f>
        <v>0</v>
      </c>
      <c r="AR14">
        <f>'Raw Data'!Q7</f>
        <v>0</v>
      </c>
      <c r="AS14">
        <f>'Raw Data'!R7</f>
        <v>0</v>
      </c>
      <c r="AT14">
        <f>'Raw Data'!S7</f>
        <v>0</v>
      </c>
    </row>
    <row r="15" spans="24:46" ht="15">
      <c r="X15">
        <v>1249</v>
      </c>
      <c r="Y15">
        <v>1249</v>
      </c>
      <c r="AB15">
        <f>'Raw Data'!A8</f>
        <v>1</v>
      </c>
      <c r="AC15">
        <f>'Raw Data'!B8</f>
        <v>2</v>
      </c>
      <c r="AD15">
        <f>'Raw Data'!C8</f>
        <v>1</v>
      </c>
      <c r="AE15" t="str">
        <f>'Raw Data'!D8</f>
        <v>Blue</v>
      </c>
      <c r="AF15">
        <f>'Raw Data'!E8</f>
        <v>0</v>
      </c>
      <c r="AG15">
        <f>'Raw Data'!F8</f>
        <v>0</v>
      </c>
      <c r="AH15">
        <f>'Raw Data'!G8</f>
        <v>0</v>
      </c>
      <c r="AI15">
        <f>'Raw Data'!H8</f>
        <v>3</v>
      </c>
      <c r="AJ15">
        <f>'Raw Data'!I8</f>
        <v>3</v>
      </c>
      <c r="AK15">
        <f>'Raw Data'!J8</f>
        <v>0</v>
      </c>
      <c r="AL15">
        <f>'Raw Data'!K8</f>
        <v>1</v>
      </c>
      <c r="AM15">
        <f>'Raw Data'!L8</f>
        <v>1</v>
      </c>
      <c r="AN15">
        <f>'Raw Data'!M8</f>
        <v>3</v>
      </c>
      <c r="AO15">
        <f>'Raw Data'!N8</f>
        <v>0</v>
      </c>
      <c r="AP15">
        <f>'Raw Data'!O8</f>
        <v>0</v>
      </c>
      <c r="AQ15">
        <f>'Raw Data'!P8</f>
        <v>0</v>
      </c>
      <c r="AR15">
        <f>'Raw Data'!Q8</f>
        <v>0</v>
      </c>
      <c r="AS15">
        <f>'Raw Data'!R8</f>
        <v>1</v>
      </c>
      <c r="AT15">
        <f>'Raw Data'!S8</f>
        <v>6</v>
      </c>
    </row>
    <row r="16" spans="24:46" ht="15">
      <c r="X16">
        <v>1279</v>
      </c>
      <c r="Y16">
        <v>1279</v>
      </c>
      <c r="AB16">
        <f>'Raw Data'!A9</f>
        <v>1</v>
      </c>
      <c r="AC16">
        <f>'Raw Data'!B9</f>
        <v>2809</v>
      </c>
      <c r="AD16">
        <f>'Raw Data'!C9</f>
        <v>1</v>
      </c>
      <c r="AE16" t="str">
        <f>'Raw Data'!D9</f>
        <v>Blue</v>
      </c>
      <c r="AF16" t="str">
        <f>'Raw Data'!E9</f>
        <v>off</v>
      </c>
      <c r="AG16">
        <f>'Raw Data'!F9</f>
        <v>0</v>
      </c>
      <c r="AH16">
        <f>'Raw Data'!G9</f>
        <v>0</v>
      </c>
      <c r="AI16">
        <f>'Raw Data'!H9</f>
        <v>0</v>
      </c>
      <c r="AJ16">
        <f>'Raw Data'!I9</f>
        <v>0</v>
      </c>
      <c r="AK16">
        <f>'Raw Data'!J9</f>
        <v>0</v>
      </c>
      <c r="AL16">
        <f>'Raw Data'!K9</f>
        <v>1</v>
      </c>
      <c r="AM16">
        <f>'Raw Data'!L9</f>
        <v>2</v>
      </c>
      <c r="AN16">
        <f>'Raw Data'!M9</f>
        <v>0</v>
      </c>
      <c r="AO16">
        <f>'Raw Data'!N9</f>
        <v>0</v>
      </c>
      <c r="AP16">
        <f>'Raw Data'!O9</f>
        <v>0</v>
      </c>
      <c r="AQ16">
        <f>'Raw Data'!P9</f>
        <v>0</v>
      </c>
      <c r="AR16">
        <f>'Raw Data'!Q9</f>
        <v>0</v>
      </c>
      <c r="AS16">
        <f>'Raw Data'!R9</f>
        <v>2</v>
      </c>
      <c r="AT16">
        <f>'Raw Data'!S9</f>
        <v>0</v>
      </c>
    </row>
    <row r="17" spans="24:46" ht="15">
      <c r="X17">
        <v>1317</v>
      </c>
      <c r="Y17">
        <v>1317</v>
      </c>
      <c r="AB17">
        <f>'Raw Data'!A10</f>
        <v>2</v>
      </c>
      <c r="AC17">
        <f>'Raw Data'!B10</f>
        <v>2051</v>
      </c>
      <c r="AD17">
        <f>'Raw Data'!C10</f>
        <v>1</v>
      </c>
      <c r="AE17" t="str">
        <f>'Raw Data'!D10</f>
        <v>Red</v>
      </c>
      <c r="AF17">
        <f>'Raw Data'!E10</f>
        <v>0</v>
      </c>
      <c r="AG17">
        <f>'Raw Data'!F10</f>
        <v>0</v>
      </c>
      <c r="AH17">
        <f>'Raw Data'!G10</f>
        <v>0</v>
      </c>
      <c r="AI17">
        <f>'Raw Data'!H10</f>
        <v>0</v>
      </c>
      <c r="AJ17">
        <f>'Raw Data'!I10</f>
        <v>0</v>
      </c>
      <c r="AK17">
        <f>'Raw Data'!J10</f>
        <v>0</v>
      </c>
      <c r="AL17">
        <f>'Raw Data'!K10</f>
        <v>3</v>
      </c>
      <c r="AM17">
        <f>'Raw Data'!L10</f>
        <v>2</v>
      </c>
      <c r="AN17">
        <f>'Raw Data'!M10</f>
        <v>0</v>
      </c>
      <c r="AO17">
        <f>'Raw Data'!N10</f>
        <v>0</v>
      </c>
      <c r="AP17">
        <f>'Raw Data'!O10</f>
        <v>0</v>
      </c>
      <c r="AQ17">
        <f>'Raw Data'!P10</f>
        <v>0</v>
      </c>
      <c r="AR17">
        <f>'Raw Data'!Q10</f>
        <v>0</v>
      </c>
      <c r="AS17">
        <f>'Raw Data'!R10</f>
        <v>2</v>
      </c>
      <c r="AT17">
        <f>'Raw Data'!S10</f>
        <v>0</v>
      </c>
    </row>
    <row r="18" spans="24:46" ht="15">
      <c r="X18">
        <v>1503</v>
      </c>
      <c r="Y18">
        <v>1503</v>
      </c>
      <c r="AB18">
        <f>'Raw Data'!A11</f>
        <v>2</v>
      </c>
      <c r="AC18">
        <f>'Raw Data'!B11</f>
        <v>2641</v>
      </c>
      <c r="AD18">
        <f>'Raw Data'!C11</f>
        <v>1</v>
      </c>
      <c r="AE18" t="str">
        <f>'Raw Data'!D11</f>
        <v>Red</v>
      </c>
      <c r="AF18">
        <f>'Raw Data'!E11</f>
        <v>0</v>
      </c>
      <c r="AG18">
        <f>'Raw Data'!F11</f>
        <v>0</v>
      </c>
      <c r="AH18">
        <f>'Raw Data'!G11</f>
        <v>1</v>
      </c>
      <c r="AI18">
        <f>'Raw Data'!H11</f>
        <v>0</v>
      </c>
      <c r="AJ18">
        <f>'Raw Data'!I11</f>
        <v>0</v>
      </c>
      <c r="AK18">
        <f>'Raw Data'!J11</f>
        <v>0</v>
      </c>
      <c r="AL18">
        <f>'Raw Data'!K11</f>
        <v>0</v>
      </c>
      <c r="AM18">
        <f>'Raw Data'!L11</f>
        <v>0</v>
      </c>
      <c r="AN18">
        <f>'Raw Data'!M11</f>
        <v>0</v>
      </c>
      <c r="AO18">
        <f>'Raw Data'!N11</f>
        <v>0</v>
      </c>
      <c r="AP18">
        <f>'Raw Data'!O11</f>
        <v>0</v>
      </c>
      <c r="AQ18">
        <f>'Raw Data'!P11</f>
        <v>0</v>
      </c>
      <c r="AR18">
        <f>'Raw Data'!Q11</f>
        <v>0</v>
      </c>
      <c r="AS18">
        <f>'Raw Data'!R11</f>
        <v>0</v>
      </c>
      <c r="AT18">
        <f>'Raw Data'!S11</f>
        <v>0</v>
      </c>
    </row>
    <row r="19" spans="24:46" ht="15">
      <c r="X19">
        <v>1708</v>
      </c>
      <c r="Y19">
        <v>1708</v>
      </c>
      <c r="AB19">
        <f>'Raw Data'!A12</f>
        <v>2</v>
      </c>
      <c r="AC19">
        <f>'Raw Data'!B12</f>
        <v>433</v>
      </c>
      <c r="AD19">
        <f>'Raw Data'!C12</f>
        <v>1</v>
      </c>
      <c r="AE19" t="str">
        <f>'Raw Data'!D12</f>
        <v>Red</v>
      </c>
      <c r="AF19">
        <f>'Raw Data'!E12</f>
        <v>0</v>
      </c>
      <c r="AG19">
        <f>'Raw Data'!F12</f>
        <v>0</v>
      </c>
      <c r="AH19">
        <f>'Raw Data'!G12</f>
        <v>0</v>
      </c>
      <c r="AI19">
        <f>'Raw Data'!H12</f>
        <v>0</v>
      </c>
      <c r="AJ19">
        <f>'Raw Data'!I12</f>
        <v>0</v>
      </c>
      <c r="AK19">
        <f>'Raw Data'!J12</f>
        <v>0</v>
      </c>
      <c r="AL19">
        <f>'Raw Data'!K12</f>
        <v>1</v>
      </c>
      <c r="AM19">
        <f>'Raw Data'!L12</f>
        <v>1</v>
      </c>
      <c r="AN19">
        <f>'Raw Data'!M12</f>
        <v>0</v>
      </c>
      <c r="AO19">
        <f>'Raw Data'!N12</f>
        <v>0</v>
      </c>
      <c r="AP19">
        <f>'Raw Data'!O12</f>
        <v>0</v>
      </c>
      <c r="AQ19">
        <f>'Raw Data'!P12</f>
        <v>0</v>
      </c>
      <c r="AR19">
        <f>'Raw Data'!Q12</f>
        <v>0</v>
      </c>
      <c r="AS19">
        <f>'Raw Data'!R12</f>
        <v>1</v>
      </c>
      <c r="AT19">
        <f>'Raw Data'!S12</f>
        <v>0</v>
      </c>
    </row>
    <row r="20" spans="24:46" ht="15">
      <c r="X20">
        <v>1743</v>
      </c>
      <c r="Y20">
        <v>1743</v>
      </c>
      <c r="AB20">
        <f>'Raw Data'!A13</f>
        <v>2</v>
      </c>
      <c r="AC20">
        <f>'Raw Data'!B13</f>
        <v>3260</v>
      </c>
      <c r="AD20">
        <f>'Raw Data'!C13</f>
        <v>1</v>
      </c>
      <c r="AE20" t="str">
        <f>'Raw Data'!D13</f>
        <v>Blue</v>
      </c>
      <c r="AF20">
        <f>'Raw Data'!E13</f>
        <v>0</v>
      </c>
      <c r="AG20">
        <f>'Raw Data'!F13</f>
        <v>0</v>
      </c>
      <c r="AH20">
        <f>'Raw Data'!G13</f>
        <v>0</v>
      </c>
      <c r="AI20">
        <f>'Raw Data'!H13</f>
        <v>0</v>
      </c>
      <c r="AJ20">
        <f>'Raw Data'!I13</f>
        <v>0</v>
      </c>
      <c r="AK20">
        <f>'Raw Data'!J13</f>
        <v>0</v>
      </c>
      <c r="AL20">
        <f>'Raw Data'!K13</f>
        <v>0</v>
      </c>
      <c r="AM20">
        <f>'Raw Data'!L13</f>
        <v>0</v>
      </c>
      <c r="AN20">
        <f>'Raw Data'!M13</f>
        <v>0</v>
      </c>
      <c r="AO20">
        <f>'Raw Data'!N13</f>
        <v>0</v>
      </c>
      <c r="AP20">
        <f>'Raw Data'!O13</f>
        <v>0</v>
      </c>
      <c r="AQ20">
        <f>'Raw Data'!P13</f>
        <v>0</v>
      </c>
      <c r="AR20">
        <f>'Raw Data'!Q13</f>
        <v>0</v>
      </c>
      <c r="AS20">
        <f>'Raw Data'!R13</f>
        <v>0</v>
      </c>
      <c r="AT20">
        <f>'Raw Data'!S13</f>
        <v>0</v>
      </c>
    </row>
    <row r="21" spans="24:46" ht="15">
      <c r="X21">
        <v>1990</v>
      </c>
      <c r="Y21">
        <v>1990</v>
      </c>
      <c r="AB21">
        <f>'Raw Data'!A14</f>
        <v>2</v>
      </c>
      <c r="AC21">
        <f>'Raw Data'!B14</f>
        <v>451</v>
      </c>
      <c r="AD21">
        <f>'Raw Data'!C14</f>
        <v>1</v>
      </c>
      <c r="AE21" t="str">
        <f>'Raw Data'!D14</f>
        <v>Blue</v>
      </c>
      <c r="AF21">
        <f>'Raw Data'!E14</f>
        <v>0</v>
      </c>
      <c r="AG21">
        <f>'Raw Data'!F14</f>
        <v>0</v>
      </c>
      <c r="AH21">
        <f>'Raw Data'!G14</f>
        <v>0</v>
      </c>
      <c r="AI21">
        <f>'Raw Data'!H14</f>
        <v>1</v>
      </c>
      <c r="AJ21">
        <f>'Raw Data'!I14</f>
        <v>0</v>
      </c>
      <c r="AK21">
        <f>'Raw Data'!J14</f>
        <v>0</v>
      </c>
      <c r="AL21">
        <f>'Raw Data'!K14</f>
        <v>4</v>
      </c>
      <c r="AM21">
        <f>'Raw Data'!L14</f>
        <v>3</v>
      </c>
      <c r="AN21">
        <f>'Raw Data'!M14</f>
        <v>0</v>
      </c>
      <c r="AO21">
        <f>'Raw Data'!N14</f>
        <v>0</v>
      </c>
      <c r="AP21">
        <f>'Raw Data'!O14</f>
        <v>0</v>
      </c>
      <c r="AQ21">
        <f>'Raw Data'!P14</f>
        <v>0</v>
      </c>
      <c r="AR21">
        <f>'Raw Data'!Q14</f>
        <v>0</v>
      </c>
      <c r="AS21">
        <f>'Raw Data'!R14</f>
        <v>3</v>
      </c>
      <c r="AT21">
        <f>'Raw Data'!S14</f>
        <v>0</v>
      </c>
    </row>
    <row r="22" spans="24:46" ht="15">
      <c r="X22">
        <v>2051</v>
      </c>
      <c r="Y22">
        <v>2051</v>
      </c>
      <c r="AB22">
        <f>'Raw Data'!A15</f>
        <v>2</v>
      </c>
      <c r="AC22">
        <f>'Raw Data'!B15</f>
        <v>337</v>
      </c>
      <c r="AD22">
        <f>'Raw Data'!C15</f>
        <v>1</v>
      </c>
      <c r="AE22" t="str">
        <f>'Raw Data'!D15</f>
        <v>Blue</v>
      </c>
      <c r="AF22">
        <f>'Raw Data'!E15</f>
        <v>0</v>
      </c>
      <c r="AG22">
        <f>'Raw Data'!F15</f>
        <v>0</v>
      </c>
      <c r="AH22">
        <f>'Raw Data'!G15</f>
        <v>0</v>
      </c>
      <c r="AI22">
        <f>'Raw Data'!H15</f>
        <v>1</v>
      </c>
      <c r="AJ22">
        <f>'Raw Data'!I15</f>
        <v>0</v>
      </c>
      <c r="AK22">
        <f>'Raw Data'!J15</f>
        <v>0</v>
      </c>
      <c r="AL22">
        <f>'Raw Data'!K15</f>
        <v>3</v>
      </c>
      <c r="AM22">
        <f>'Raw Data'!L15</f>
        <v>1</v>
      </c>
      <c r="AN22">
        <f>'Raw Data'!M15</f>
        <v>0</v>
      </c>
      <c r="AO22">
        <f>'Raw Data'!N15</f>
        <v>0</v>
      </c>
      <c r="AP22">
        <f>'Raw Data'!O15</f>
        <v>0</v>
      </c>
      <c r="AQ22">
        <f>'Raw Data'!P15</f>
        <v>0</v>
      </c>
      <c r="AR22">
        <f>'Raw Data'!Q15</f>
        <v>0</v>
      </c>
      <c r="AS22">
        <f>'Raw Data'!R15</f>
        <v>1</v>
      </c>
      <c r="AT22">
        <f>'Raw Data'!S15</f>
        <v>0</v>
      </c>
    </row>
    <row r="23" spans="24:46" ht="15">
      <c r="X23">
        <v>2252</v>
      </c>
      <c r="Y23">
        <v>2252</v>
      </c>
      <c r="AB23">
        <f>'Raw Data'!A16</f>
        <v>3</v>
      </c>
      <c r="AC23">
        <f>'Raw Data'!B16</f>
        <v>1317</v>
      </c>
      <c r="AD23">
        <f>'Raw Data'!C16</f>
        <v>1</v>
      </c>
      <c r="AE23" t="str">
        <f>'Raw Data'!D16</f>
        <v>Red</v>
      </c>
      <c r="AF23">
        <f>'Raw Data'!E16</f>
        <v>0</v>
      </c>
      <c r="AG23">
        <f>'Raw Data'!F16</f>
        <v>0</v>
      </c>
      <c r="AH23">
        <f>'Raw Data'!G16</f>
        <v>1</v>
      </c>
      <c r="AI23">
        <f>'Raw Data'!H16</f>
        <v>0</v>
      </c>
      <c r="AJ23">
        <f>'Raw Data'!I16</f>
        <v>0</v>
      </c>
      <c r="AK23">
        <f>'Raw Data'!J16</f>
        <v>0</v>
      </c>
      <c r="AL23">
        <f>'Raw Data'!K16</f>
        <v>1</v>
      </c>
      <c r="AM23">
        <f>'Raw Data'!L16</f>
        <v>1</v>
      </c>
      <c r="AN23">
        <f>'Raw Data'!M16</f>
        <v>0</v>
      </c>
      <c r="AO23">
        <f>'Raw Data'!N16</f>
        <v>0</v>
      </c>
      <c r="AP23">
        <f>'Raw Data'!O16</f>
        <v>0</v>
      </c>
      <c r="AQ23">
        <f>'Raw Data'!P16</f>
        <v>0</v>
      </c>
      <c r="AR23">
        <f>'Raw Data'!Q16</f>
        <v>0</v>
      </c>
      <c r="AS23">
        <f>'Raw Data'!R16</f>
        <v>1</v>
      </c>
      <c r="AT23">
        <f>'Raw Data'!S16</f>
        <v>0</v>
      </c>
    </row>
    <row r="24" spans="24:46" ht="15">
      <c r="X24">
        <v>2279</v>
      </c>
      <c r="Y24">
        <v>2279</v>
      </c>
      <c r="AB24">
        <f>'Raw Data'!A17</f>
        <v>3</v>
      </c>
      <c r="AC24">
        <f>'Raw Data'!B17</f>
        <v>1708</v>
      </c>
      <c r="AD24">
        <f>'Raw Data'!C17</f>
        <v>1</v>
      </c>
      <c r="AE24" t="str">
        <f>'Raw Data'!D17</f>
        <v>Red</v>
      </c>
      <c r="AF24">
        <f>'Raw Data'!E17</f>
        <v>0</v>
      </c>
      <c r="AG24">
        <f>'Raw Data'!F17</f>
        <v>0</v>
      </c>
      <c r="AH24">
        <f>'Raw Data'!G17</f>
        <v>0</v>
      </c>
      <c r="AI24">
        <f>'Raw Data'!H17</f>
        <v>0</v>
      </c>
      <c r="AJ24">
        <f>'Raw Data'!I17</f>
        <v>0</v>
      </c>
      <c r="AK24">
        <f>'Raw Data'!J17</f>
        <v>0</v>
      </c>
      <c r="AL24">
        <f>'Raw Data'!K17</f>
        <v>3</v>
      </c>
      <c r="AM24">
        <f>'Raw Data'!L17</f>
        <v>0</v>
      </c>
      <c r="AN24">
        <f>'Raw Data'!M17</f>
        <v>0</v>
      </c>
      <c r="AO24">
        <f>'Raw Data'!N17</f>
        <v>0</v>
      </c>
      <c r="AP24">
        <f>'Raw Data'!O17</f>
        <v>0</v>
      </c>
      <c r="AQ24">
        <f>'Raw Data'!P17</f>
        <v>0</v>
      </c>
      <c r="AR24">
        <f>'Raw Data'!Q17</f>
        <v>0</v>
      </c>
      <c r="AS24">
        <f>'Raw Data'!R17</f>
        <v>0</v>
      </c>
      <c r="AT24">
        <f>'Raw Data'!S17</f>
        <v>0</v>
      </c>
    </row>
    <row r="25" spans="24:46" ht="15">
      <c r="X25">
        <v>2544</v>
      </c>
      <c r="Y25">
        <v>2544</v>
      </c>
      <c r="AB25">
        <f>'Raw Data'!A18</f>
        <v>3</v>
      </c>
      <c r="AC25">
        <f>'Raw Data'!B18</f>
        <v>117</v>
      </c>
      <c r="AD25">
        <f>'Raw Data'!C18</f>
        <v>1</v>
      </c>
      <c r="AE25" t="str">
        <f>'Raw Data'!D18</f>
        <v>Red</v>
      </c>
      <c r="AF25">
        <f>'Raw Data'!E18</f>
        <v>0</v>
      </c>
      <c r="AG25">
        <f>'Raw Data'!F18</f>
        <v>2</v>
      </c>
      <c r="AH25">
        <f>'Raw Data'!G18</f>
        <v>0</v>
      </c>
      <c r="AI25">
        <f>'Raw Data'!H18</f>
        <v>0</v>
      </c>
      <c r="AJ25">
        <f>'Raw Data'!I18</f>
        <v>0</v>
      </c>
      <c r="AK25">
        <f>'Raw Data'!J18</f>
        <v>0</v>
      </c>
      <c r="AL25">
        <f>'Raw Data'!K18</f>
        <v>0</v>
      </c>
      <c r="AM25">
        <f>'Raw Data'!L18</f>
        <v>0</v>
      </c>
      <c r="AN25">
        <f>'Raw Data'!M18</f>
        <v>0</v>
      </c>
      <c r="AO25">
        <f>'Raw Data'!N18</f>
        <v>0</v>
      </c>
      <c r="AP25">
        <f>'Raw Data'!O18</f>
        <v>0</v>
      </c>
      <c r="AQ25">
        <f>'Raw Data'!P18</f>
        <v>0</v>
      </c>
      <c r="AR25">
        <f>'Raw Data'!Q18</f>
        <v>0</v>
      </c>
      <c r="AS25">
        <f>'Raw Data'!R18</f>
        <v>0</v>
      </c>
      <c r="AT25">
        <f>'Raw Data'!S18</f>
        <v>0</v>
      </c>
    </row>
    <row r="26" spans="24:46" ht="15">
      <c r="X26">
        <v>2603</v>
      </c>
      <c r="Y26">
        <v>2603</v>
      </c>
      <c r="AB26">
        <f>'Raw Data'!A19</f>
        <v>3</v>
      </c>
      <c r="AC26">
        <f>'Raw Data'!B19</f>
        <v>3138</v>
      </c>
      <c r="AD26">
        <f>'Raw Data'!C19</f>
        <v>1</v>
      </c>
      <c r="AE26" t="str">
        <f>'Raw Data'!D19</f>
        <v>Blue</v>
      </c>
      <c r="AF26">
        <f>'Raw Data'!E19</f>
        <v>0</v>
      </c>
      <c r="AG26">
        <f>'Raw Data'!F19</f>
        <v>0</v>
      </c>
      <c r="AH26">
        <f>'Raw Data'!G19</f>
        <v>0</v>
      </c>
      <c r="AI26">
        <f>'Raw Data'!H19</f>
        <v>0</v>
      </c>
      <c r="AJ26">
        <f>'Raw Data'!I19</f>
        <v>0</v>
      </c>
      <c r="AK26">
        <f>'Raw Data'!J19</f>
        <v>0</v>
      </c>
      <c r="AL26">
        <f>'Raw Data'!K19</f>
        <v>3</v>
      </c>
      <c r="AM26">
        <f>'Raw Data'!L19</f>
        <v>1</v>
      </c>
      <c r="AN26">
        <f>'Raw Data'!M19</f>
        <v>0</v>
      </c>
      <c r="AO26">
        <f>'Raw Data'!N19</f>
        <v>0</v>
      </c>
      <c r="AP26">
        <f>'Raw Data'!O19</f>
        <v>0</v>
      </c>
      <c r="AQ26">
        <f>'Raw Data'!P19</f>
        <v>0</v>
      </c>
      <c r="AR26">
        <f>'Raw Data'!Q19</f>
        <v>0</v>
      </c>
      <c r="AS26">
        <f>'Raw Data'!R19</f>
        <v>1</v>
      </c>
      <c r="AT26">
        <f>'Raw Data'!S19</f>
        <v>0</v>
      </c>
    </row>
    <row r="27" spans="24:46" ht="15">
      <c r="X27">
        <v>2614</v>
      </c>
      <c r="Y27">
        <v>2614</v>
      </c>
      <c r="AB27">
        <f>'Raw Data'!A20</f>
        <v>3</v>
      </c>
      <c r="AC27">
        <f>'Raw Data'!B20</f>
        <v>2544</v>
      </c>
      <c r="AD27">
        <f>'Raw Data'!C20</f>
        <v>1</v>
      </c>
      <c r="AE27" t="str">
        <f>'Raw Data'!D20</f>
        <v>Blue</v>
      </c>
      <c r="AF27">
        <f>'Raw Data'!E20</f>
        <v>0</v>
      </c>
      <c r="AG27">
        <f>'Raw Data'!F20</f>
        <v>0</v>
      </c>
      <c r="AH27">
        <f>'Raw Data'!G20</f>
        <v>0</v>
      </c>
      <c r="AI27">
        <f>'Raw Data'!H20</f>
        <v>0</v>
      </c>
      <c r="AJ27">
        <f>'Raw Data'!I20</f>
        <v>0</v>
      </c>
      <c r="AK27">
        <f>'Raw Data'!J20</f>
        <v>0</v>
      </c>
      <c r="AL27">
        <f>'Raw Data'!K20</f>
        <v>0</v>
      </c>
      <c r="AM27">
        <f>'Raw Data'!L20</f>
        <v>0</v>
      </c>
      <c r="AN27">
        <f>'Raw Data'!M20</f>
        <v>0</v>
      </c>
      <c r="AO27">
        <f>'Raw Data'!N20</f>
        <v>1</v>
      </c>
      <c r="AP27">
        <f>'Raw Data'!O20</f>
        <v>0</v>
      </c>
      <c r="AQ27">
        <f>'Raw Data'!P20</f>
        <v>0</v>
      </c>
      <c r="AR27">
        <f>'Raw Data'!Q20</f>
        <v>0</v>
      </c>
      <c r="AS27">
        <f>'Raw Data'!R20</f>
        <v>0</v>
      </c>
      <c r="AT27">
        <f>'Raw Data'!S20</f>
        <v>0</v>
      </c>
    </row>
    <row r="28" spans="24:46" ht="15">
      <c r="X28">
        <v>2618</v>
      </c>
      <c r="Y28">
        <v>2618</v>
      </c>
      <c r="AB28">
        <f>'Raw Data'!A21</f>
        <v>3</v>
      </c>
      <c r="AC28">
        <f>'Raw Data'!B21</f>
        <v>1743</v>
      </c>
      <c r="AD28">
        <f>'Raw Data'!C21</f>
        <v>1</v>
      </c>
      <c r="AE28" t="str">
        <f>'Raw Data'!D21</f>
        <v>Blue</v>
      </c>
      <c r="AF28">
        <f>'Raw Data'!E21</f>
        <v>0</v>
      </c>
      <c r="AG28">
        <f>'Raw Data'!F21</f>
        <v>0</v>
      </c>
      <c r="AH28">
        <f>'Raw Data'!G21</f>
        <v>0</v>
      </c>
      <c r="AI28">
        <f>'Raw Data'!H21</f>
        <v>0</v>
      </c>
      <c r="AJ28">
        <f>'Raw Data'!I21</f>
        <v>0</v>
      </c>
      <c r="AK28">
        <f>'Raw Data'!J21</f>
        <v>0</v>
      </c>
      <c r="AL28">
        <f>'Raw Data'!K21</f>
        <v>0</v>
      </c>
      <c r="AM28">
        <f>'Raw Data'!L21</f>
        <v>0</v>
      </c>
      <c r="AN28">
        <f>'Raw Data'!M21</f>
        <v>0</v>
      </c>
      <c r="AO28">
        <f>'Raw Data'!N21</f>
        <v>0</v>
      </c>
      <c r="AP28">
        <f>'Raw Data'!O21</f>
        <v>0</v>
      </c>
      <c r="AQ28">
        <f>'Raw Data'!P21</f>
        <v>0</v>
      </c>
      <c r="AR28">
        <f>'Raw Data'!Q21</f>
        <v>0</v>
      </c>
      <c r="AS28">
        <f>'Raw Data'!R21</f>
        <v>0</v>
      </c>
      <c r="AT28">
        <f>'Raw Data'!S21</f>
        <v>0</v>
      </c>
    </row>
    <row r="29" spans="24:46" ht="15">
      <c r="X29">
        <v>2641</v>
      </c>
      <c r="Y29">
        <v>2641</v>
      </c>
      <c r="AB29">
        <f>'Raw Data'!A22</f>
        <v>4</v>
      </c>
      <c r="AC29">
        <f>'Raw Data'!B22</f>
        <v>222</v>
      </c>
      <c r="AD29">
        <f>'Raw Data'!C22</f>
        <v>1</v>
      </c>
      <c r="AE29" t="str">
        <f>'Raw Data'!D22</f>
        <v>Red</v>
      </c>
      <c r="AF29">
        <f>'Raw Data'!E22</f>
        <v>0</v>
      </c>
      <c r="AG29">
        <f>'Raw Data'!F22</f>
        <v>0</v>
      </c>
      <c r="AH29">
        <f>'Raw Data'!G22</f>
        <v>0</v>
      </c>
      <c r="AI29">
        <f>'Raw Data'!H22</f>
        <v>2</v>
      </c>
      <c r="AJ29">
        <f>'Raw Data'!I22</f>
        <v>2</v>
      </c>
      <c r="AK29">
        <f>'Raw Data'!J22</f>
        <v>1</v>
      </c>
      <c r="AL29">
        <f>'Raw Data'!K22</f>
        <v>4</v>
      </c>
      <c r="AM29">
        <f>'Raw Data'!L22</f>
        <v>0</v>
      </c>
      <c r="AN29">
        <f>'Raw Data'!M22</f>
        <v>2</v>
      </c>
      <c r="AO29">
        <f>'Raw Data'!N22</f>
        <v>0</v>
      </c>
      <c r="AP29">
        <f>'Raw Data'!O22</f>
        <v>1</v>
      </c>
      <c r="AQ29">
        <f>'Raw Data'!P22</f>
        <v>0</v>
      </c>
      <c r="AR29">
        <f>'Raw Data'!Q22</f>
        <v>0</v>
      </c>
      <c r="AS29">
        <f>'Raw Data'!R22</f>
        <v>1</v>
      </c>
      <c r="AT29">
        <f>'Raw Data'!S22</f>
        <v>4</v>
      </c>
    </row>
    <row r="30" spans="24:46" ht="15">
      <c r="X30">
        <v>2656</v>
      </c>
      <c r="Y30">
        <v>2656</v>
      </c>
      <c r="AB30">
        <f>'Raw Data'!A23</f>
        <v>4</v>
      </c>
      <c r="AC30">
        <f>'Raw Data'!B23</f>
        <v>1038</v>
      </c>
      <c r="AD30">
        <f>'Raw Data'!C23</f>
        <v>1</v>
      </c>
      <c r="AE30" t="str">
        <f>'Raw Data'!D23</f>
        <v>Red</v>
      </c>
      <c r="AF30">
        <f>'Raw Data'!E23</f>
        <v>0</v>
      </c>
      <c r="AG30">
        <f>'Raw Data'!F23</f>
        <v>0</v>
      </c>
      <c r="AH30">
        <f>'Raw Data'!G23</f>
        <v>0</v>
      </c>
      <c r="AI30">
        <f>'Raw Data'!H23</f>
        <v>0</v>
      </c>
      <c r="AJ30">
        <f>'Raw Data'!I23</f>
        <v>0</v>
      </c>
      <c r="AK30">
        <f>'Raw Data'!J23</f>
        <v>0</v>
      </c>
      <c r="AL30">
        <f>'Raw Data'!K23</f>
        <v>5</v>
      </c>
      <c r="AM30">
        <f>'Raw Data'!L23</f>
        <v>2</v>
      </c>
      <c r="AN30">
        <f>'Raw Data'!M23</f>
        <v>2</v>
      </c>
      <c r="AO30">
        <f>'Raw Data'!N23</f>
        <v>0</v>
      </c>
      <c r="AP30">
        <f>'Raw Data'!O23</f>
        <v>0</v>
      </c>
      <c r="AQ30">
        <f>'Raw Data'!P23</f>
        <v>0</v>
      </c>
      <c r="AR30">
        <f>'Raw Data'!Q23</f>
        <v>0</v>
      </c>
      <c r="AS30">
        <f>'Raw Data'!R23</f>
        <v>2</v>
      </c>
      <c r="AT30">
        <f>'Raw Data'!S23</f>
        <v>2</v>
      </c>
    </row>
    <row r="31" spans="24:46" ht="15">
      <c r="X31">
        <v>2809</v>
      </c>
      <c r="Y31">
        <v>2809</v>
      </c>
      <c r="AB31">
        <f>'Raw Data'!A24</f>
        <v>4</v>
      </c>
      <c r="AC31">
        <f>'Raw Data'!B24</f>
        <v>306</v>
      </c>
      <c r="AD31">
        <f>'Raw Data'!C24</f>
        <v>1</v>
      </c>
      <c r="AE31" t="str">
        <f>'Raw Data'!D24</f>
        <v>Red</v>
      </c>
      <c r="AF31">
        <f>'Raw Data'!E24</f>
        <v>0</v>
      </c>
      <c r="AG31">
        <f>'Raw Data'!F24</f>
        <v>0</v>
      </c>
      <c r="AH31">
        <f>'Raw Data'!G24</f>
        <v>0</v>
      </c>
      <c r="AI31">
        <f>'Raw Data'!H24</f>
        <v>0</v>
      </c>
      <c r="AJ31">
        <f>'Raw Data'!I24</f>
        <v>0</v>
      </c>
      <c r="AK31">
        <f>'Raw Data'!J24</f>
        <v>0</v>
      </c>
      <c r="AL31">
        <f>'Raw Data'!K24</f>
        <v>0</v>
      </c>
      <c r="AM31">
        <f>'Raw Data'!L24</f>
        <v>0</v>
      </c>
      <c r="AN31">
        <f>'Raw Data'!M24</f>
        <v>0</v>
      </c>
      <c r="AO31">
        <f>'Raw Data'!N24</f>
        <v>0</v>
      </c>
      <c r="AP31">
        <f>'Raw Data'!O24</f>
        <v>0</v>
      </c>
      <c r="AQ31">
        <f>'Raw Data'!P24</f>
        <v>0</v>
      </c>
      <c r="AR31">
        <f>'Raw Data'!Q24</f>
        <v>0</v>
      </c>
      <c r="AS31">
        <f>'Raw Data'!R24</f>
        <v>0</v>
      </c>
      <c r="AT31">
        <f>'Raw Data'!S24</f>
        <v>0</v>
      </c>
    </row>
    <row r="32" spans="24:46" ht="15">
      <c r="X32">
        <v>3062</v>
      </c>
      <c r="Y32">
        <v>3062</v>
      </c>
      <c r="AB32">
        <f>'Raw Data'!A25</f>
        <v>4</v>
      </c>
      <c r="AC32">
        <f>'Raw Data'!B25</f>
        <v>2614</v>
      </c>
      <c r="AD32">
        <f>'Raw Data'!C25</f>
        <v>1</v>
      </c>
      <c r="AE32" t="str">
        <f>'Raw Data'!D25</f>
        <v>Blue</v>
      </c>
      <c r="AF32">
        <f>'Raw Data'!E25</f>
        <v>0</v>
      </c>
      <c r="AG32">
        <f>'Raw Data'!F25</f>
        <v>0</v>
      </c>
      <c r="AH32">
        <f>'Raw Data'!G25</f>
        <v>0</v>
      </c>
      <c r="AI32">
        <f>'Raw Data'!H25</f>
        <v>1</v>
      </c>
      <c r="AJ32">
        <f>'Raw Data'!I25</f>
        <v>0</v>
      </c>
      <c r="AK32">
        <f>'Raw Data'!J25</f>
        <v>0</v>
      </c>
      <c r="AL32">
        <f>'Raw Data'!K25</f>
        <v>3</v>
      </c>
      <c r="AM32">
        <f>'Raw Data'!L25</f>
        <v>2</v>
      </c>
      <c r="AN32">
        <f>'Raw Data'!M25</f>
        <v>0</v>
      </c>
      <c r="AO32">
        <f>'Raw Data'!N25</f>
        <v>0</v>
      </c>
      <c r="AP32">
        <f>'Raw Data'!O25</f>
        <v>0</v>
      </c>
      <c r="AQ32">
        <f>'Raw Data'!P25</f>
        <v>0</v>
      </c>
      <c r="AR32">
        <f>'Raw Data'!Q25</f>
        <v>0</v>
      </c>
      <c r="AS32">
        <f>'Raw Data'!R25</f>
        <v>2</v>
      </c>
      <c r="AT32">
        <f>'Raw Data'!S25</f>
        <v>0</v>
      </c>
    </row>
    <row r="33" spans="24:46" ht="15">
      <c r="X33">
        <v>3138</v>
      </c>
      <c r="Y33">
        <v>3138</v>
      </c>
      <c r="AB33">
        <f>'Raw Data'!A26</f>
        <v>4</v>
      </c>
      <c r="AC33">
        <f>'Raw Data'!B26</f>
        <v>1990</v>
      </c>
      <c r="AD33">
        <f>'Raw Data'!C26</f>
        <v>1</v>
      </c>
      <c r="AE33" t="str">
        <f>'Raw Data'!D26</f>
        <v>Blue</v>
      </c>
      <c r="AF33">
        <f>'Raw Data'!E26</f>
        <v>0</v>
      </c>
      <c r="AG33">
        <f>'Raw Data'!F26</f>
        <v>0</v>
      </c>
      <c r="AH33">
        <f>'Raw Data'!G26</f>
        <v>0</v>
      </c>
      <c r="AI33">
        <f>'Raw Data'!H26</f>
        <v>2</v>
      </c>
      <c r="AJ33">
        <f>'Raw Data'!I26</f>
        <v>2</v>
      </c>
      <c r="AK33">
        <f>'Raw Data'!J26</f>
        <v>0</v>
      </c>
      <c r="AL33">
        <f>'Raw Data'!K26</f>
        <v>0</v>
      </c>
      <c r="AM33">
        <f>'Raw Data'!L26</f>
        <v>0</v>
      </c>
      <c r="AN33">
        <f>'Raw Data'!M26</f>
        <v>1</v>
      </c>
      <c r="AO33">
        <f>'Raw Data'!N26</f>
        <v>0</v>
      </c>
      <c r="AP33">
        <f>'Raw Data'!O26</f>
        <v>0</v>
      </c>
      <c r="AQ33">
        <f>'Raw Data'!P26</f>
        <v>0</v>
      </c>
      <c r="AR33">
        <f>'Raw Data'!Q26</f>
        <v>1</v>
      </c>
      <c r="AS33">
        <f>'Raw Data'!R26</f>
        <v>-1</v>
      </c>
      <c r="AT33">
        <f>'Raw Data'!S26</f>
        <v>3</v>
      </c>
    </row>
    <row r="34" spans="24:46" ht="15">
      <c r="X34">
        <v>3193</v>
      </c>
      <c r="Y34">
        <v>3193</v>
      </c>
      <c r="AB34">
        <f>'Raw Data'!A27</f>
        <v>4</v>
      </c>
      <c r="AC34">
        <f>'Raw Data'!B27</f>
        <v>1503</v>
      </c>
      <c r="AD34">
        <f>'Raw Data'!C27</f>
        <v>1</v>
      </c>
      <c r="AE34" t="str">
        <f>'Raw Data'!D27</f>
        <v>Blue</v>
      </c>
      <c r="AF34">
        <f>'Raw Data'!E27</f>
        <v>0</v>
      </c>
      <c r="AG34">
        <f>'Raw Data'!F27</f>
        <v>0</v>
      </c>
      <c r="AH34">
        <f>'Raw Data'!G27</f>
        <v>0</v>
      </c>
      <c r="AI34">
        <f>'Raw Data'!H27</f>
        <v>0</v>
      </c>
      <c r="AJ34">
        <f>'Raw Data'!I27</f>
        <v>0</v>
      </c>
      <c r="AK34">
        <f>'Raw Data'!J27</f>
        <v>0</v>
      </c>
      <c r="AL34">
        <f>'Raw Data'!K27</f>
        <v>1</v>
      </c>
      <c r="AM34">
        <f>'Raw Data'!L27</f>
        <v>1</v>
      </c>
      <c r="AN34">
        <f>'Raw Data'!M27</f>
        <v>1</v>
      </c>
      <c r="AO34">
        <f>'Raw Data'!N27</f>
        <v>0</v>
      </c>
      <c r="AP34">
        <f>'Raw Data'!O27</f>
        <v>0</v>
      </c>
      <c r="AQ34">
        <f>'Raw Data'!P27</f>
        <v>0</v>
      </c>
      <c r="AR34">
        <f>'Raw Data'!Q27</f>
        <v>1</v>
      </c>
      <c r="AS34">
        <f>'Raw Data'!R27</f>
        <v>0</v>
      </c>
      <c r="AT34">
        <f>'Raw Data'!S27</f>
        <v>1</v>
      </c>
    </row>
    <row r="35" spans="24:46" ht="15">
      <c r="X35">
        <v>3260</v>
      </c>
      <c r="Y35">
        <v>3260</v>
      </c>
      <c r="AB35">
        <f>'Raw Data'!A28</f>
        <v>5</v>
      </c>
      <c r="AC35">
        <f>'Raw Data'!B28</f>
        <v>3062</v>
      </c>
      <c r="AD35">
        <f>'Raw Data'!C28</f>
        <v>1</v>
      </c>
      <c r="AE35" t="str">
        <f>'Raw Data'!D28</f>
        <v>Red</v>
      </c>
      <c r="AF35">
        <f>'Raw Data'!E28</f>
        <v>0</v>
      </c>
      <c r="AG35">
        <f>'Raw Data'!F28</f>
        <v>0</v>
      </c>
      <c r="AH35">
        <f>'Raw Data'!G28</f>
        <v>0</v>
      </c>
      <c r="AI35">
        <f>'Raw Data'!H28</f>
        <v>0</v>
      </c>
      <c r="AJ35">
        <f>'Raw Data'!I28</f>
        <v>0</v>
      </c>
      <c r="AK35">
        <f>'Raw Data'!J28</f>
        <v>0</v>
      </c>
      <c r="AL35">
        <f>'Raw Data'!K28</f>
        <v>0</v>
      </c>
      <c r="AM35">
        <f>'Raw Data'!L28</f>
        <v>0</v>
      </c>
      <c r="AN35">
        <f>'Raw Data'!M28</f>
        <v>1</v>
      </c>
      <c r="AO35">
        <f>'Raw Data'!N28</f>
        <v>0</v>
      </c>
      <c r="AP35">
        <f>'Raw Data'!O28</f>
        <v>0</v>
      </c>
      <c r="AQ35">
        <f>'Raw Data'!P28</f>
        <v>0</v>
      </c>
      <c r="AR35">
        <f>'Raw Data'!Q28</f>
        <v>0</v>
      </c>
      <c r="AS35">
        <f>'Raw Data'!R28</f>
        <v>0</v>
      </c>
      <c r="AT35">
        <f>'Raw Data'!S28</f>
        <v>1</v>
      </c>
    </row>
    <row r="36" spans="28:46" ht="15">
      <c r="AB36">
        <f>'Raw Data'!A29</f>
        <v>5</v>
      </c>
      <c r="AC36">
        <f>'Raw Data'!B29</f>
        <v>1249</v>
      </c>
      <c r="AD36">
        <f>'Raw Data'!C29</f>
        <v>1</v>
      </c>
      <c r="AE36" t="str">
        <f>'Raw Data'!D29</f>
        <v>Red</v>
      </c>
      <c r="AF36">
        <f>'Raw Data'!E29</f>
        <v>0</v>
      </c>
      <c r="AG36">
        <f>'Raw Data'!F29</f>
        <v>0</v>
      </c>
      <c r="AH36">
        <f>'Raw Data'!G29</f>
        <v>0</v>
      </c>
      <c r="AI36">
        <f>'Raw Data'!H29</f>
        <v>0</v>
      </c>
      <c r="AJ36">
        <f>'Raw Data'!I29</f>
        <v>0</v>
      </c>
      <c r="AK36">
        <f>'Raw Data'!J29</f>
        <v>0</v>
      </c>
      <c r="AL36">
        <f>'Raw Data'!K29</f>
        <v>2</v>
      </c>
      <c r="AM36">
        <f>'Raw Data'!L29</f>
        <v>4</v>
      </c>
      <c r="AN36">
        <f>'Raw Data'!M29</f>
        <v>1</v>
      </c>
      <c r="AO36">
        <f>'Raw Data'!N29</f>
        <v>0</v>
      </c>
      <c r="AP36">
        <f>'Raw Data'!O29</f>
        <v>0</v>
      </c>
      <c r="AQ36">
        <f>'Raw Data'!P29</f>
        <v>0</v>
      </c>
      <c r="AR36">
        <f>'Raw Data'!Q29</f>
        <v>0</v>
      </c>
      <c r="AS36">
        <f>'Raw Data'!R29</f>
        <v>4</v>
      </c>
      <c r="AT36">
        <f>'Raw Data'!S29</f>
        <v>1</v>
      </c>
    </row>
    <row r="37" spans="28:46" ht="15">
      <c r="AB37">
        <f>'Raw Data'!A30</f>
        <v>5</v>
      </c>
      <c r="AC37">
        <f>'Raw Data'!B30</f>
        <v>2618</v>
      </c>
      <c r="AD37">
        <f>'Raw Data'!C30</f>
        <v>1</v>
      </c>
      <c r="AE37" t="str">
        <f>'Raw Data'!D30</f>
        <v>Red</v>
      </c>
      <c r="AF37">
        <f>'Raw Data'!E30</f>
        <v>0</v>
      </c>
      <c r="AG37">
        <f>'Raw Data'!F30</f>
        <v>0</v>
      </c>
      <c r="AH37">
        <f>'Raw Data'!G30</f>
        <v>0</v>
      </c>
      <c r="AI37">
        <f>'Raw Data'!H30</f>
        <v>0</v>
      </c>
      <c r="AJ37">
        <f>'Raw Data'!I30</f>
        <v>0</v>
      </c>
      <c r="AK37">
        <f>'Raw Data'!J30</f>
        <v>0</v>
      </c>
      <c r="AL37">
        <f>'Raw Data'!K30</f>
        <v>0</v>
      </c>
      <c r="AM37">
        <f>'Raw Data'!L30</f>
        <v>0</v>
      </c>
      <c r="AN37">
        <f>'Raw Data'!M30</f>
        <v>0</v>
      </c>
      <c r="AO37">
        <f>'Raw Data'!N30</f>
        <v>0</v>
      </c>
      <c r="AP37">
        <f>'Raw Data'!O30</f>
        <v>0</v>
      </c>
      <c r="AQ37">
        <f>'Raw Data'!P30</f>
        <v>0</v>
      </c>
      <c r="AR37">
        <f>'Raw Data'!Q30</f>
        <v>0</v>
      </c>
      <c r="AS37">
        <f>'Raw Data'!R30</f>
        <v>0</v>
      </c>
      <c r="AT37">
        <f>'Raw Data'!S30</f>
        <v>0</v>
      </c>
    </row>
    <row r="38" spans="28:46" ht="15">
      <c r="AB38">
        <f>'Raw Data'!A31</f>
        <v>5</v>
      </c>
      <c r="AC38">
        <f>'Raw Data'!B31</f>
        <v>1114</v>
      </c>
      <c r="AD38">
        <f>'Raw Data'!C31</f>
        <v>1</v>
      </c>
      <c r="AE38" t="str">
        <f>'Raw Data'!D31</f>
        <v>Blue</v>
      </c>
      <c r="AF38">
        <f>'Raw Data'!E31</f>
        <v>0</v>
      </c>
      <c r="AG38">
        <f>'Raw Data'!F31</f>
        <v>0</v>
      </c>
      <c r="AH38">
        <f>'Raw Data'!G31</f>
        <v>0</v>
      </c>
      <c r="AI38">
        <f>'Raw Data'!H31</f>
        <v>3</v>
      </c>
      <c r="AJ38">
        <f>'Raw Data'!I31</f>
        <v>2</v>
      </c>
      <c r="AK38">
        <f>'Raw Data'!J31</f>
        <v>1</v>
      </c>
      <c r="AL38">
        <f>'Raw Data'!K31</f>
        <v>1</v>
      </c>
      <c r="AM38">
        <f>'Raw Data'!L31</f>
        <v>6</v>
      </c>
      <c r="AN38">
        <f>'Raw Data'!M31</f>
        <v>2</v>
      </c>
      <c r="AO38">
        <f>'Raw Data'!N31</f>
        <v>0</v>
      </c>
      <c r="AP38">
        <f>'Raw Data'!O31</f>
        <v>0</v>
      </c>
      <c r="AQ38">
        <f>'Raw Data'!P31</f>
        <v>2</v>
      </c>
      <c r="AR38">
        <f>'Raw Data'!Q31</f>
        <v>0</v>
      </c>
      <c r="AS38">
        <f>'Raw Data'!R31</f>
        <v>9</v>
      </c>
      <c r="AT38">
        <f>'Raw Data'!S31</f>
        <v>4</v>
      </c>
    </row>
    <row r="39" spans="28:46" ht="15">
      <c r="AB39">
        <f>'Raw Data'!A32</f>
        <v>5</v>
      </c>
      <c r="AC39">
        <f>'Raw Data'!B32</f>
        <v>3193</v>
      </c>
      <c r="AD39">
        <f>'Raw Data'!C32</f>
        <v>1</v>
      </c>
      <c r="AE39" t="str">
        <f>'Raw Data'!D32</f>
        <v>Blue</v>
      </c>
      <c r="AF39">
        <f>'Raw Data'!E32</f>
        <v>0</v>
      </c>
      <c r="AG39">
        <f>'Raw Data'!F32</f>
        <v>0</v>
      </c>
      <c r="AH39">
        <f>'Raw Data'!G32</f>
        <v>0</v>
      </c>
      <c r="AI39">
        <f>'Raw Data'!H32</f>
        <v>0</v>
      </c>
      <c r="AJ39">
        <f>'Raw Data'!I32</f>
        <v>0</v>
      </c>
      <c r="AK39">
        <f>'Raw Data'!J32</f>
        <v>0</v>
      </c>
      <c r="AL39">
        <f>'Raw Data'!K32</f>
        <v>6</v>
      </c>
      <c r="AM39">
        <f>'Raw Data'!L32</f>
        <v>1</v>
      </c>
      <c r="AN39">
        <f>'Raw Data'!M32</f>
        <v>0</v>
      </c>
      <c r="AO39">
        <f>'Raw Data'!N32</f>
        <v>0</v>
      </c>
      <c r="AP39">
        <f>'Raw Data'!O32</f>
        <v>0</v>
      </c>
      <c r="AQ39">
        <f>'Raw Data'!P32</f>
        <v>0</v>
      </c>
      <c r="AR39">
        <f>'Raw Data'!Q32</f>
        <v>1</v>
      </c>
      <c r="AS39">
        <f>'Raw Data'!R32</f>
        <v>0</v>
      </c>
      <c r="AT39">
        <f>'Raw Data'!S32</f>
        <v>0</v>
      </c>
    </row>
    <row r="40" spans="28:46" ht="15">
      <c r="AB40">
        <f>'Raw Data'!A33</f>
        <v>5</v>
      </c>
      <c r="AC40">
        <f>'Raw Data'!B33</f>
        <v>63</v>
      </c>
      <c r="AD40">
        <f>'Raw Data'!C33</f>
        <v>1</v>
      </c>
      <c r="AE40" t="str">
        <f>'Raw Data'!D33</f>
        <v>Blue</v>
      </c>
      <c r="AF40">
        <f>'Raw Data'!E33</f>
        <v>0</v>
      </c>
      <c r="AG40">
        <f>'Raw Data'!F33</f>
        <v>0</v>
      </c>
      <c r="AH40">
        <f>'Raw Data'!G33</f>
        <v>0</v>
      </c>
      <c r="AI40">
        <f>'Raw Data'!H33</f>
        <v>0</v>
      </c>
      <c r="AJ40">
        <f>'Raw Data'!I33</f>
        <v>0</v>
      </c>
      <c r="AK40">
        <f>'Raw Data'!J33</f>
        <v>0</v>
      </c>
      <c r="AL40">
        <f>'Raw Data'!K33</f>
        <v>6</v>
      </c>
      <c r="AM40">
        <f>'Raw Data'!L33</f>
        <v>4</v>
      </c>
      <c r="AN40">
        <f>'Raw Data'!M33</f>
        <v>0</v>
      </c>
      <c r="AO40">
        <f>'Raw Data'!N33</f>
        <v>0</v>
      </c>
      <c r="AP40">
        <f>'Raw Data'!O33</f>
        <v>0</v>
      </c>
      <c r="AQ40">
        <f>'Raw Data'!P33</f>
        <v>0</v>
      </c>
      <c r="AR40">
        <f>'Raw Data'!Q33</f>
        <v>0</v>
      </c>
      <c r="AS40">
        <f>'Raw Data'!R33</f>
        <v>4</v>
      </c>
      <c r="AT40">
        <f>'Raw Data'!S33</f>
        <v>0</v>
      </c>
    </row>
    <row r="41" spans="28:46" ht="15">
      <c r="AB41">
        <f>'Raw Data'!A34</f>
        <v>6</v>
      </c>
      <c r="AC41">
        <f>'Raw Data'!B34</f>
        <v>2656</v>
      </c>
      <c r="AD41">
        <f>'Raw Data'!C34</f>
        <v>1</v>
      </c>
      <c r="AE41" t="str">
        <f>'Raw Data'!D34</f>
        <v>Red</v>
      </c>
      <c r="AF41">
        <f>'Raw Data'!E34</f>
        <v>0</v>
      </c>
      <c r="AG41">
        <f>'Raw Data'!F34</f>
        <v>0</v>
      </c>
      <c r="AH41">
        <f>'Raw Data'!G34</f>
        <v>0</v>
      </c>
      <c r="AI41">
        <f>'Raw Data'!H34</f>
        <v>0</v>
      </c>
      <c r="AJ41">
        <f>'Raw Data'!I34</f>
        <v>0</v>
      </c>
      <c r="AK41">
        <f>'Raw Data'!J34</f>
        <v>0</v>
      </c>
      <c r="AL41">
        <f>'Raw Data'!K34</f>
        <v>0</v>
      </c>
      <c r="AM41">
        <f>'Raw Data'!L34</f>
        <v>0</v>
      </c>
      <c r="AN41">
        <f>'Raw Data'!M34</f>
        <v>0</v>
      </c>
      <c r="AO41">
        <f>'Raw Data'!N34</f>
        <v>0</v>
      </c>
      <c r="AP41">
        <f>'Raw Data'!O34</f>
        <v>0</v>
      </c>
      <c r="AQ41">
        <f>'Raw Data'!P34</f>
        <v>0</v>
      </c>
      <c r="AR41">
        <f>'Raw Data'!Q34</f>
        <v>0</v>
      </c>
      <c r="AS41">
        <f>'Raw Data'!R34</f>
        <v>0</v>
      </c>
      <c r="AT41">
        <f>'Raw Data'!S34</f>
        <v>0</v>
      </c>
    </row>
    <row r="42" spans="28:46" ht="15">
      <c r="AB42">
        <f>'Raw Data'!A35</f>
        <v>6</v>
      </c>
      <c r="AC42">
        <f>'Raw Data'!B35</f>
        <v>1279</v>
      </c>
      <c r="AD42">
        <f>'Raw Data'!C35</f>
        <v>1</v>
      </c>
      <c r="AE42" t="str">
        <f>'Raw Data'!D35</f>
        <v>Red</v>
      </c>
      <c r="AF42">
        <f>'Raw Data'!E35</f>
        <v>0</v>
      </c>
      <c r="AG42">
        <f>'Raw Data'!F35</f>
        <v>0</v>
      </c>
      <c r="AH42">
        <f>'Raw Data'!G35</f>
        <v>0</v>
      </c>
      <c r="AI42">
        <f>'Raw Data'!H35</f>
        <v>3</v>
      </c>
      <c r="AJ42">
        <f>'Raw Data'!I35</f>
        <v>3</v>
      </c>
      <c r="AK42">
        <f>'Raw Data'!J35</f>
        <v>0</v>
      </c>
      <c r="AL42">
        <f>'Raw Data'!K35</f>
        <v>0</v>
      </c>
      <c r="AM42">
        <f>'Raw Data'!L35</f>
        <v>4</v>
      </c>
      <c r="AN42">
        <f>'Raw Data'!M35</f>
        <v>0</v>
      </c>
      <c r="AO42">
        <f>'Raw Data'!N35</f>
        <v>0</v>
      </c>
      <c r="AP42">
        <f>'Raw Data'!O35</f>
        <v>0</v>
      </c>
      <c r="AQ42">
        <f>'Raw Data'!P35</f>
        <v>0</v>
      </c>
      <c r="AR42">
        <f>'Raw Data'!Q35</f>
        <v>0</v>
      </c>
      <c r="AS42">
        <f>'Raw Data'!R35</f>
        <v>4</v>
      </c>
      <c r="AT42">
        <f>'Raw Data'!S35</f>
        <v>3</v>
      </c>
    </row>
    <row r="43" spans="28:46" ht="15">
      <c r="AB43">
        <f>'Raw Data'!A36</f>
        <v>6</v>
      </c>
      <c r="AC43">
        <f>'Raw Data'!B36</f>
        <v>1503</v>
      </c>
      <c r="AD43">
        <f>'Raw Data'!C36</f>
        <v>1</v>
      </c>
      <c r="AE43" t="str">
        <f>'Raw Data'!D36</f>
        <v>Red</v>
      </c>
      <c r="AF43">
        <f>'Raw Data'!E36</f>
        <v>0</v>
      </c>
      <c r="AG43">
        <f>'Raw Data'!F36</f>
        <v>0</v>
      </c>
      <c r="AH43">
        <f>'Raw Data'!G36</f>
        <v>0</v>
      </c>
      <c r="AI43">
        <f>'Raw Data'!H36</f>
        <v>0</v>
      </c>
      <c r="AJ43">
        <f>'Raw Data'!I36</f>
        <v>0</v>
      </c>
      <c r="AK43">
        <f>'Raw Data'!J36</f>
        <v>0</v>
      </c>
      <c r="AL43">
        <f>'Raw Data'!K36</f>
        <v>2</v>
      </c>
      <c r="AM43">
        <f>'Raw Data'!L36</f>
        <v>4</v>
      </c>
      <c r="AN43">
        <f>'Raw Data'!M36</f>
        <v>1</v>
      </c>
      <c r="AO43">
        <f>'Raw Data'!N36</f>
        <v>0</v>
      </c>
      <c r="AP43">
        <f>'Raw Data'!O36</f>
        <v>0</v>
      </c>
      <c r="AQ43">
        <f>'Raw Data'!P36</f>
        <v>0</v>
      </c>
      <c r="AR43">
        <f>'Raw Data'!Q36</f>
        <v>1</v>
      </c>
      <c r="AS43">
        <f>'Raw Data'!R36</f>
        <v>3</v>
      </c>
      <c r="AT43">
        <f>'Raw Data'!S36</f>
        <v>1</v>
      </c>
    </row>
    <row r="44" spans="28:46" ht="15">
      <c r="AB44">
        <f>'Raw Data'!A37</f>
        <v>6</v>
      </c>
      <c r="AC44">
        <f>'Raw Data'!B37</f>
        <v>433</v>
      </c>
      <c r="AD44">
        <f>'Raw Data'!C37</f>
        <v>1</v>
      </c>
      <c r="AE44" t="str">
        <f>'Raw Data'!D37</f>
        <v>Blue</v>
      </c>
      <c r="AF44">
        <f>'Raw Data'!E37</f>
        <v>0</v>
      </c>
      <c r="AG44">
        <f>'Raw Data'!F37</f>
        <v>0</v>
      </c>
      <c r="AH44">
        <f>'Raw Data'!G37</f>
        <v>0</v>
      </c>
      <c r="AI44">
        <f>'Raw Data'!H37</f>
        <v>0</v>
      </c>
      <c r="AJ44">
        <f>'Raw Data'!I37</f>
        <v>0</v>
      </c>
      <c r="AK44">
        <f>'Raw Data'!J37</f>
        <v>0</v>
      </c>
      <c r="AL44">
        <f>'Raw Data'!K37</f>
        <v>1</v>
      </c>
      <c r="AM44">
        <f>'Raw Data'!L37</f>
        <v>0</v>
      </c>
      <c r="AN44">
        <f>'Raw Data'!M37</f>
        <v>1</v>
      </c>
      <c r="AO44">
        <f>'Raw Data'!N37</f>
        <v>0</v>
      </c>
      <c r="AP44">
        <f>'Raw Data'!O37</f>
        <v>0</v>
      </c>
      <c r="AQ44">
        <f>'Raw Data'!P37</f>
        <v>0</v>
      </c>
      <c r="AR44">
        <f>'Raw Data'!Q37</f>
        <v>0</v>
      </c>
      <c r="AS44">
        <f>'Raw Data'!R37</f>
        <v>0</v>
      </c>
      <c r="AT44">
        <f>'Raw Data'!S37</f>
        <v>1</v>
      </c>
    </row>
    <row r="45" spans="28:46" ht="15">
      <c r="AB45">
        <f>'Raw Data'!A38</f>
        <v>6</v>
      </c>
      <c r="AC45">
        <f>'Raw Data'!B38</f>
        <v>3138</v>
      </c>
      <c r="AD45">
        <f>'Raw Data'!C38</f>
        <v>1</v>
      </c>
      <c r="AE45" t="str">
        <f>'Raw Data'!D38</f>
        <v>Blue</v>
      </c>
      <c r="AF45">
        <f>'Raw Data'!E38</f>
        <v>0</v>
      </c>
      <c r="AG45">
        <f>'Raw Data'!F38</f>
        <v>0</v>
      </c>
      <c r="AH45">
        <f>'Raw Data'!G38</f>
        <v>0</v>
      </c>
      <c r="AI45">
        <f>'Raw Data'!H38</f>
        <v>0</v>
      </c>
      <c r="AJ45">
        <f>'Raw Data'!I38</f>
        <v>1</v>
      </c>
      <c r="AK45">
        <f>'Raw Data'!J38</f>
        <v>0</v>
      </c>
      <c r="AL45">
        <f>'Raw Data'!K38</f>
        <v>1</v>
      </c>
      <c r="AM45">
        <f>'Raw Data'!L38</f>
        <v>1</v>
      </c>
      <c r="AN45">
        <f>'Raw Data'!M38</f>
        <v>3</v>
      </c>
      <c r="AO45">
        <f>'Raw Data'!N38</f>
        <v>0</v>
      </c>
      <c r="AP45">
        <f>'Raw Data'!O38</f>
        <v>0</v>
      </c>
      <c r="AQ45">
        <f>'Raw Data'!P38</f>
        <v>0</v>
      </c>
      <c r="AR45">
        <f>'Raw Data'!Q38</f>
        <v>0</v>
      </c>
      <c r="AS45">
        <f>'Raw Data'!R38</f>
        <v>1</v>
      </c>
      <c r="AT45">
        <f>'Raw Data'!S38</f>
        <v>4</v>
      </c>
    </row>
    <row r="46" spans="28:46" ht="15">
      <c r="AB46">
        <f>'Raw Data'!A39</f>
        <v>6</v>
      </c>
      <c r="AC46">
        <f>'Raw Data'!B39</f>
        <v>2279</v>
      </c>
      <c r="AD46">
        <f>'Raw Data'!C39</f>
        <v>1</v>
      </c>
      <c r="AE46" t="str">
        <f>'Raw Data'!D39</f>
        <v>Blue</v>
      </c>
      <c r="AF46">
        <f>'Raw Data'!E39</f>
        <v>0</v>
      </c>
      <c r="AG46">
        <f>'Raw Data'!F39</f>
        <v>0</v>
      </c>
      <c r="AH46">
        <f>'Raw Data'!G39</f>
        <v>0</v>
      </c>
      <c r="AI46">
        <f>'Raw Data'!H39</f>
        <v>0</v>
      </c>
      <c r="AJ46">
        <f>'Raw Data'!I39</f>
        <v>0</v>
      </c>
      <c r="AK46">
        <f>'Raw Data'!J39</f>
        <v>0</v>
      </c>
      <c r="AL46">
        <f>'Raw Data'!K39</f>
        <v>0</v>
      </c>
      <c r="AM46">
        <f>'Raw Data'!L39</f>
        <v>0</v>
      </c>
      <c r="AN46">
        <f>'Raw Data'!M39</f>
        <v>0</v>
      </c>
      <c r="AO46">
        <f>'Raw Data'!N39</f>
        <v>0</v>
      </c>
      <c r="AP46">
        <f>'Raw Data'!O39</f>
        <v>0</v>
      </c>
      <c r="AQ46">
        <f>'Raw Data'!P39</f>
        <v>0</v>
      </c>
      <c r="AR46">
        <f>'Raw Data'!Q39</f>
        <v>0</v>
      </c>
      <c r="AS46">
        <f>'Raw Data'!R39</f>
        <v>0</v>
      </c>
      <c r="AT46">
        <f>'Raw Data'!S39</f>
        <v>0</v>
      </c>
    </row>
    <row r="47" spans="28:46" ht="15">
      <c r="AB47">
        <f>'Raw Data'!A40</f>
        <v>7</v>
      </c>
      <c r="AC47">
        <f>'Raw Data'!B40</f>
        <v>451</v>
      </c>
      <c r="AD47">
        <f>'Raw Data'!C40</f>
        <v>1</v>
      </c>
      <c r="AE47" t="str">
        <f>'Raw Data'!D40</f>
        <v>Red</v>
      </c>
      <c r="AF47">
        <f>'Raw Data'!E40</f>
        <v>0</v>
      </c>
      <c r="AG47">
        <f>'Raw Data'!F40</f>
        <v>0</v>
      </c>
      <c r="AH47">
        <f>'Raw Data'!G40</f>
        <v>0</v>
      </c>
      <c r="AI47">
        <f>'Raw Data'!H40</f>
        <v>0</v>
      </c>
      <c r="AJ47">
        <f>'Raw Data'!I40</f>
        <v>0</v>
      </c>
      <c r="AK47">
        <f>'Raw Data'!J40</f>
        <v>0</v>
      </c>
      <c r="AL47">
        <f>'Raw Data'!K40</f>
        <v>0</v>
      </c>
      <c r="AM47">
        <f>'Raw Data'!L40</f>
        <v>0</v>
      </c>
      <c r="AN47">
        <f>'Raw Data'!M40</f>
        <v>0</v>
      </c>
      <c r="AO47">
        <f>'Raw Data'!N40</f>
        <v>0</v>
      </c>
      <c r="AP47">
        <f>'Raw Data'!O40</f>
        <v>0</v>
      </c>
      <c r="AQ47">
        <f>'Raw Data'!P40</f>
        <v>0</v>
      </c>
      <c r="AR47">
        <f>'Raw Data'!Q40</f>
        <v>0</v>
      </c>
      <c r="AS47">
        <f>'Raw Data'!R40</f>
        <v>0</v>
      </c>
      <c r="AT47">
        <f>'Raw Data'!S40</f>
        <v>0</v>
      </c>
    </row>
    <row r="48" spans="28:46" ht="15">
      <c r="AB48">
        <f>'Raw Data'!A41</f>
        <v>7</v>
      </c>
      <c r="AC48">
        <f>'Raw Data'!B41</f>
        <v>1990</v>
      </c>
      <c r="AD48">
        <f>'Raw Data'!C41</f>
        <v>1</v>
      </c>
      <c r="AE48" t="str">
        <f>'Raw Data'!D41</f>
        <v>Red</v>
      </c>
      <c r="AF48">
        <f>'Raw Data'!E41</f>
        <v>0</v>
      </c>
      <c r="AG48">
        <f>'Raw Data'!F41</f>
        <v>0</v>
      </c>
      <c r="AH48">
        <f>'Raw Data'!G41</f>
        <v>0</v>
      </c>
      <c r="AI48">
        <f>'Raw Data'!H41</f>
        <v>0</v>
      </c>
      <c r="AJ48">
        <f>'Raw Data'!I41</f>
        <v>0</v>
      </c>
      <c r="AK48">
        <f>'Raw Data'!J41</f>
        <v>0</v>
      </c>
      <c r="AL48">
        <f>'Raw Data'!K41</f>
        <v>1</v>
      </c>
      <c r="AM48">
        <f>'Raw Data'!L41</f>
        <v>1</v>
      </c>
      <c r="AN48">
        <f>'Raw Data'!M41</f>
        <v>0</v>
      </c>
      <c r="AO48">
        <f>'Raw Data'!N41</f>
        <v>0</v>
      </c>
      <c r="AP48">
        <f>'Raw Data'!O41</f>
        <v>0</v>
      </c>
      <c r="AQ48">
        <f>'Raw Data'!P41</f>
        <v>0</v>
      </c>
      <c r="AR48">
        <f>'Raw Data'!Q41</f>
        <v>0</v>
      </c>
      <c r="AS48">
        <f>'Raw Data'!R41</f>
        <v>1</v>
      </c>
      <c r="AT48">
        <f>'Raw Data'!S41</f>
        <v>0</v>
      </c>
    </row>
    <row r="49" spans="28:46" ht="15">
      <c r="AB49">
        <f>'Raw Data'!A42</f>
        <v>7</v>
      </c>
      <c r="AC49">
        <f>'Raw Data'!B42</f>
        <v>2641</v>
      </c>
      <c r="AD49">
        <f>'Raw Data'!C42</f>
        <v>1</v>
      </c>
      <c r="AE49" t="str">
        <f>'Raw Data'!D42</f>
        <v>Red</v>
      </c>
      <c r="AF49">
        <f>'Raw Data'!E42</f>
        <v>0</v>
      </c>
      <c r="AG49">
        <f>'Raw Data'!F42</f>
        <v>0</v>
      </c>
      <c r="AH49">
        <f>'Raw Data'!G42</f>
        <v>0</v>
      </c>
      <c r="AI49">
        <f>'Raw Data'!H42</f>
        <v>1</v>
      </c>
      <c r="AJ49">
        <f>'Raw Data'!I42</f>
        <v>0</v>
      </c>
      <c r="AK49">
        <f>'Raw Data'!J42</f>
        <v>0</v>
      </c>
      <c r="AL49">
        <f>'Raw Data'!K42</f>
        <v>1</v>
      </c>
      <c r="AM49">
        <f>'Raw Data'!L42</f>
        <v>0</v>
      </c>
      <c r="AN49">
        <f>'Raw Data'!M42</f>
        <v>0</v>
      </c>
      <c r="AO49">
        <f>'Raw Data'!N42</f>
        <v>0</v>
      </c>
      <c r="AP49">
        <f>'Raw Data'!O42</f>
        <v>0</v>
      </c>
      <c r="AQ49">
        <f>'Raw Data'!P42</f>
        <v>0</v>
      </c>
      <c r="AR49">
        <f>'Raw Data'!Q42</f>
        <v>1</v>
      </c>
      <c r="AS49">
        <f>'Raw Data'!R42</f>
        <v>-1</v>
      </c>
      <c r="AT49">
        <f>'Raw Data'!S42</f>
        <v>0</v>
      </c>
    </row>
    <row r="50" spans="28:46" ht="15">
      <c r="AB50">
        <f>'Raw Data'!A43</f>
        <v>7</v>
      </c>
      <c r="AC50">
        <f>'Raw Data'!B43</f>
        <v>222</v>
      </c>
      <c r="AD50">
        <f>'Raw Data'!C43</f>
        <v>1</v>
      </c>
      <c r="AE50" t="str">
        <f>'Raw Data'!D43</f>
        <v>Blue</v>
      </c>
      <c r="AF50">
        <f>'Raw Data'!E43</f>
        <v>0</v>
      </c>
      <c r="AG50">
        <f>'Raw Data'!F43</f>
        <v>0</v>
      </c>
      <c r="AH50">
        <f>'Raw Data'!G43</f>
        <v>0</v>
      </c>
      <c r="AI50">
        <f>'Raw Data'!H43</f>
        <v>0</v>
      </c>
      <c r="AJ50">
        <f>'Raw Data'!I43</f>
        <v>2</v>
      </c>
      <c r="AK50">
        <f>'Raw Data'!J43</f>
        <v>0</v>
      </c>
      <c r="AL50">
        <f>'Raw Data'!K43</f>
        <v>0</v>
      </c>
      <c r="AM50">
        <f>'Raw Data'!L43</f>
        <v>3</v>
      </c>
      <c r="AN50">
        <f>'Raw Data'!M43</f>
        <v>0</v>
      </c>
      <c r="AO50">
        <f>'Raw Data'!N43</f>
        <v>0</v>
      </c>
      <c r="AP50">
        <f>'Raw Data'!O43</f>
        <v>0</v>
      </c>
      <c r="AQ50">
        <f>'Raw Data'!P43</f>
        <v>0</v>
      </c>
      <c r="AR50">
        <f>'Raw Data'!Q43</f>
        <v>0</v>
      </c>
      <c r="AS50">
        <f>'Raw Data'!R43</f>
        <v>3</v>
      </c>
      <c r="AT50">
        <f>'Raw Data'!S43</f>
        <v>2</v>
      </c>
    </row>
    <row r="51" spans="28:46" ht="15">
      <c r="AB51">
        <f>'Raw Data'!A44</f>
        <v>7</v>
      </c>
      <c r="AC51">
        <f>'Raw Data'!B44</f>
        <v>117</v>
      </c>
      <c r="AD51">
        <f>'Raw Data'!C44</f>
        <v>1</v>
      </c>
      <c r="AE51" t="str">
        <f>'Raw Data'!D44</f>
        <v>Blue</v>
      </c>
      <c r="AF51">
        <f>'Raw Data'!E44</f>
        <v>0</v>
      </c>
      <c r="AG51">
        <f>'Raw Data'!F44</f>
        <v>0</v>
      </c>
      <c r="AH51">
        <f>'Raw Data'!G44</f>
        <v>0</v>
      </c>
      <c r="AI51">
        <f>'Raw Data'!H44</f>
        <v>0</v>
      </c>
      <c r="AJ51">
        <f>'Raw Data'!I44</f>
        <v>0</v>
      </c>
      <c r="AK51">
        <f>'Raw Data'!J44</f>
        <v>0</v>
      </c>
      <c r="AL51">
        <f>'Raw Data'!K44</f>
        <v>1</v>
      </c>
      <c r="AM51">
        <f>'Raw Data'!L44</f>
        <v>0</v>
      </c>
      <c r="AN51">
        <f>'Raw Data'!M44</f>
        <v>0</v>
      </c>
      <c r="AO51">
        <f>'Raw Data'!N44</f>
        <v>0</v>
      </c>
      <c r="AP51">
        <f>'Raw Data'!O44</f>
        <v>0</v>
      </c>
      <c r="AQ51">
        <f>'Raw Data'!P44</f>
        <v>0</v>
      </c>
      <c r="AR51">
        <f>'Raw Data'!Q44</f>
        <v>0</v>
      </c>
      <c r="AS51">
        <f>'Raw Data'!R44</f>
        <v>0</v>
      </c>
      <c r="AT51">
        <f>'Raw Data'!S44</f>
        <v>0</v>
      </c>
    </row>
    <row r="52" spans="28:46" ht="15">
      <c r="AB52">
        <f>'Raw Data'!A45</f>
        <v>7</v>
      </c>
      <c r="AC52">
        <f>'Raw Data'!B45</f>
        <v>2603</v>
      </c>
      <c r="AD52">
        <f>'Raw Data'!C45</f>
        <v>1</v>
      </c>
      <c r="AE52" t="str">
        <f>'Raw Data'!D45</f>
        <v>Blue</v>
      </c>
      <c r="AF52">
        <f>'Raw Data'!E45</f>
        <v>0</v>
      </c>
      <c r="AG52">
        <f>'Raw Data'!F45</f>
        <v>0</v>
      </c>
      <c r="AH52">
        <f>'Raw Data'!G45</f>
        <v>0</v>
      </c>
      <c r="AI52">
        <f>'Raw Data'!H45</f>
        <v>0</v>
      </c>
      <c r="AJ52">
        <f>'Raw Data'!I45</f>
        <v>0</v>
      </c>
      <c r="AK52">
        <f>'Raw Data'!J45</f>
        <v>0</v>
      </c>
      <c r="AL52">
        <f>'Raw Data'!K45</f>
        <v>0</v>
      </c>
      <c r="AM52">
        <f>'Raw Data'!L45</f>
        <v>0</v>
      </c>
      <c r="AN52">
        <f>'Raw Data'!M45</f>
        <v>0</v>
      </c>
      <c r="AO52">
        <f>'Raw Data'!N45</f>
        <v>0</v>
      </c>
      <c r="AP52">
        <f>'Raw Data'!O45</f>
        <v>0</v>
      </c>
      <c r="AQ52">
        <f>'Raw Data'!P45</f>
        <v>0</v>
      </c>
      <c r="AR52">
        <f>'Raw Data'!Q45</f>
        <v>1</v>
      </c>
      <c r="AS52">
        <f>'Raw Data'!R45</f>
        <v>-1</v>
      </c>
      <c r="AT52">
        <f>'Raw Data'!S45</f>
        <v>0</v>
      </c>
    </row>
    <row r="53" spans="28:46" ht="15">
      <c r="AB53">
        <f>'Raw Data'!A46</f>
        <v>8</v>
      </c>
      <c r="AC53">
        <f>'Raw Data'!B46</f>
        <v>1317</v>
      </c>
      <c r="AD53">
        <f>'Raw Data'!C46</f>
        <v>1</v>
      </c>
      <c r="AE53" t="str">
        <f>'Raw Data'!D46</f>
        <v>Red</v>
      </c>
      <c r="AF53">
        <f>'Raw Data'!E46</f>
        <v>0</v>
      </c>
      <c r="AG53">
        <f>'Raw Data'!F46</f>
        <v>2</v>
      </c>
      <c r="AH53">
        <f>'Raw Data'!G46</f>
        <v>0</v>
      </c>
      <c r="AI53">
        <f>'Raw Data'!H46</f>
        <v>0</v>
      </c>
      <c r="AJ53">
        <f>'Raw Data'!I46</f>
        <v>0</v>
      </c>
      <c r="AK53">
        <f>'Raw Data'!J46</f>
        <v>0</v>
      </c>
      <c r="AL53">
        <f>'Raw Data'!K46</f>
        <v>0</v>
      </c>
      <c r="AM53">
        <f>'Raw Data'!L46</f>
        <v>0</v>
      </c>
      <c r="AN53">
        <f>'Raw Data'!M46</f>
        <v>0</v>
      </c>
      <c r="AO53">
        <f>'Raw Data'!N46</f>
        <v>0</v>
      </c>
      <c r="AP53">
        <f>'Raw Data'!O46</f>
        <v>0</v>
      </c>
      <c r="AQ53">
        <f>'Raw Data'!P46</f>
        <v>0</v>
      </c>
      <c r="AR53">
        <f>'Raw Data'!Q46</f>
        <v>0</v>
      </c>
      <c r="AS53">
        <f>'Raw Data'!R46</f>
        <v>0</v>
      </c>
      <c r="AT53">
        <f>'Raw Data'!S46</f>
        <v>0</v>
      </c>
    </row>
    <row r="54" spans="28:46" ht="15">
      <c r="AB54">
        <f>'Raw Data'!A47</f>
        <v>8</v>
      </c>
      <c r="AC54">
        <f>'Raw Data'!B47</f>
        <v>63</v>
      </c>
      <c r="AD54">
        <f>'Raw Data'!C47</f>
        <v>1</v>
      </c>
      <c r="AE54" t="str">
        <f>'Raw Data'!D47</f>
        <v>Red</v>
      </c>
      <c r="AF54">
        <f>'Raw Data'!E47</f>
        <v>0</v>
      </c>
      <c r="AG54">
        <f>'Raw Data'!F47</f>
        <v>0</v>
      </c>
      <c r="AH54">
        <f>'Raw Data'!G47</f>
        <v>0</v>
      </c>
      <c r="AI54">
        <f>'Raw Data'!H47</f>
        <v>1</v>
      </c>
      <c r="AJ54">
        <f>'Raw Data'!I47</f>
        <v>1</v>
      </c>
      <c r="AK54">
        <f>'Raw Data'!J47</f>
        <v>0</v>
      </c>
      <c r="AL54">
        <f>'Raw Data'!K47</f>
        <v>0</v>
      </c>
      <c r="AM54">
        <f>'Raw Data'!L47</f>
        <v>3</v>
      </c>
      <c r="AN54">
        <f>'Raw Data'!M47</f>
        <v>0</v>
      </c>
      <c r="AO54">
        <f>'Raw Data'!N47</f>
        <v>0</v>
      </c>
      <c r="AP54">
        <f>'Raw Data'!O47</f>
        <v>0</v>
      </c>
      <c r="AQ54">
        <f>'Raw Data'!P47</f>
        <v>0</v>
      </c>
      <c r="AR54">
        <f>'Raw Data'!Q47</f>
        <v>0</v>
      </c>
      <c r="AS54">
        <f>'Raw Data'!R47</f>
        <v>3</v>
      </c>
      <c r="AT54">
        <f>'Raw Data'!S47</f>
        <v>1</v>
      </c>
    </row>
    <row r="55" spans="28:46" ht="15">
      <c r="AB55">
        <f>'Raw Data'!A48</f>
        <v>8</v>
      </c>
      <c r="AC55">
        <f>'Raw Data'!B48</f>
        <v>337</v>
      </c>
      <c r="AD55">
        <f>'Raw Data'!C48</f>
        <v>1</v>
      </c>
      <c r="AE55" t="str">
        <f>'Raw Data'!D48</f>
        <v>Red</v>
      </c>
      <c r="AF55">
        <f>'Raw Data'!E48</f>
        <v>0</v>
      </c>
      <c r="AG55">
        <f>'Raw Data'!F48</f>
        <v>0</v>
      </c>
      <c r="AH55">
        <f>'Raw Data'!G48</f>
        <v>0</v>
      </c>
      <c r="AI55">
        <f>'Raw Data'!H48</f>
        <v>0</v>
      </c>
      <c r="AJ55">
        <f>'Raw Data'!I48</f>
        <v>0</v>
      </c>
      <c r="AK55">
        <f>'Raw Data'!J48</f>
        <v>0</v>
      </c>
      <c r="AL55">
        <f>'Raw Data'!K48</f>
        <v>0</v>
      </c>
      <c r="AM55">
        <f>'Raw Data'!L48</f>
        <v>1</v>
      </c>
      <c r="AN55">
        <f>'Raw Data'!M48</f>
        <v>0</v>
      </c>
      <c r="AO55">
        <f>'Raw Data'!N48</f>
        <v>0</v>
      </c>
      <c r="AP55">
        <f>'Raw Data'!O48</f>
        <v>0</v>
      </c>
      <c r="AQ55">
        <f>'Raw Data'!P48</f>
        <v>0</v>
      </c>
      <c r="AR55">
        <f>'Raw Data'!Q48</f>
        <v>0</v>
      </c>
      <c r="AS55">
        <f>'Raw Data'!R48</f>
        <v>1</v>
      </c>
      <c r="AT55">
        <f>'Raw Data'!S48</f>
        <v>0</v>
      </c>
    </row>
    <row r="56" spans="28:46" ht="15">
      <c r="AB56">
        <f>'Raw Data'!A49</f>
        <v>8</v>
      </c>
      <c r="AC56">
        <f>'Raw Data'!B49</f>
        <v>2809</v>
      </c>
      <c r="AD56">
        <f>'Raw Data'!C49</f>
        <v>1</v>
      </c>
      <c r="AE56" t="str">
        <f>'Raw Data'!D49</f>
        <v>Blue</v>
      </c>
      <c r="AF56" t="str">
        <f>'Raw Data'!E49</f>
        <v>off</v>
      </c>
      <c r="AG56">
        <f>'Raw Data'!F49</f>
        <v>0</v>
      </c>
      <c r="AH56">
        <f>'Raw Data'!G49</f>
        <v>0</v>
      </c>
      <c r="AI56">
        <f>'Raw Data'!H49</f>
        <v>0</v>
      </c>
      <c r="AJ56">
        <f>'Raw Data'!I49</f>
        <v>0</v>
      </c>
      <c r="AK56">
        <f>'Raw Data'!J49</f>
        <v>0</v>
      </c>
      <c r="AL56">
        <f>'Raw Data'!K49</f>
        <v>1</v>
      </c>
      <c r="AM56">
        <f>'Raw Data'!L49</f>
        <v>3</v>
      </c>
      <c r="AN56">
        <f>'Raw Data'!M49</f>
        <v>0</v>
      </c>
      <c r="AO56">
        <f>'Raw Data'!N49</f>
        <v>0</v>
      </c>
      <c r="AP56">
        <f>'Raw Data'!O49</f>
        <v>0</v>
      </c>
      <c r="AQ56">
        <f>'Raw Data'!P49</f>
        <v>0</v>
      </c>
      <c r="AR56">
        <f>'Raw Data'!Q49</f>
        <v>0</v>
      </c>
      <c r="AS56">
        <f>'Raw Data'!R49</f>
        <v>3</v>
      </c>
      <c r="AT56">
        <f>'Raw Data'!S49</f>
        <v>0</v>
      </c>
    </row>
    <row r="57" spans="28:46" ht="15">
      <c r="AB57">
        <f>'Raw Data'!A50</f>
        <v>8</v>
      </c>
      <c r="AC57">
        <f>'Raw Data'!B50</f>
        <v>3260</v>
      </c>
      <c r="AD57">
        <f>'Raw Data'!C50</f>
        <v>1</v>
      </c>
      <c r="AE57" t="str">
        <f>'Raw Data'!D50</f>
        <v>Blue</v>
      </c>
      <c r="AF57">
        <f>'Raw Data'!E50</f>
        <v>0</v>
      </c>
      <c r="AG57">
        <f>'Raw Data'!F50</f>
        <v>0</v>
      </c>
      <c r="AH57">
        <f>'Raw Data'!G50</f>
        <v>0</v>
      </c>
      <c r="AI57">
        <f>'Raw Data'!H50</f>
        <v>0</v>
      </c>
      <c r="AJ57">
        <f>'Raw Data'!I50</f>
        <v>0</v>
      </c>
      <c r="AK57">
        <f>'Raw Data'!J50</f>
        <v>0</v>
      </c>
      <c r="AL57">
        <f>'Raw Data'!K50</f>
        <v>0</v>
      </c>
      <c r="AM57">
        <f>'Raw Data'!L50</f>
        <v>0</v>
      </c>
      <c r="AN57">
        <f>'Raw Data'!M50</f>
        <v>0</v>
      </c>
      <c r="AO57">
        <f>'Raw Data'!N50</f>
        <v>0</v>
      </c>
      <c r="AP57">
        <f>'Raw Data'!O50</f>
        <v>0</v>
      </c>
      <c r="AQ57">
        <f>'Raw Data'!P50</f>
        <v>0</v>
      </c>
      <c r="AR57">
        <f>'Raw Data'!Q50</f>
        <v>0</v>
      </c>
      <c r="AS57">
        <f>'Raw Data'!R50</f>
        <v>0</v>
      </c>
      <c r="AT57">
        <f>'Raw Data'!S50</f>
        <v>0</v>
      </c>
    </row>
    <row r="58" spans="28:46" ht="15">
      <c r="AB58">
        <f>'Raw Data'!A51</f>
        <v>8</v>
      </c>
      <c r="AC58">
        <f>'Raw Data'!B51</f>
        <v>1038</v>
      </c>
      <c r="AD58">
        <f>'Raw Data'!C51</f>
        <v>1</v>
      </c>
      <c r="AE58" t="str">
        <f>'Raw Data'!D51</f>
        <v>Blue</v>
      </c>
      <c r="AF58">
        <f>'Raw Data'!E51</f>
        <v>0</v>
      </c>
      <c r="AG58">
        <f>'Raw Data'!F51</f>
        <v>0</v>
      </c>
      <c r="AH58">
        <f>'Raw Data'!G51</f>
        <v>0</v>
      </c>
      <c r="AI58">
        <f>'Raw Data'!H51</f>
        <v>0</v>
      </c>
      <c r="AJ58">
        <f>'Raw Data'!I51</f>
        <v>0</v>
      </c>
      <c r="AK58">
        <f>'Raw Data'!J51</f>
        <v>0</v>
      </c>
      <c r="AL58">
        <f>'Raw Data'!K51</f>
        <v>1</v>
      </c>
      <c r="AM58">
        <f>'Raw Data'!L51</f>
        <v>2</v>
      </c>
      <c r="AN58">
        <f>'Raw Data'!M51</f>
        <v>1</v>
      </c>
      <c r="AO58">
        <f>'Raw Data'!N51</f>
        <v>0</v>
      </c>
      <c r="AP58">
        <f>'Raw Data'!O51</f>
        <v>0</v>
      </c>
      <c r="AQ58">
        <f>'Raw Data'!P51</f>
        <v>0</v>
      </c>
      <c r="AR58">
        <f>'Raw Data'!Q51</f>
        <v>1</v>
      </c>
      <c r="AS58">
        <f>'Raw Data'!R51</f>
        <v>1</v>
      </c>
      <c r="AT58">
        <f>'Raw Data'!S51</f>
        <v>1</v>
      </c>
    </row>
    <row r="59" spans="28:46" ht="15">
      <c r="AB59">
        <f>'Raw Data'!A52</f>
        <v>9</v>
      </c>
      <c r="AC59">
        <f>'Raw Data'!B52</f>
        <v>306</v>
      </c>
      <c r="AD59">
        <f>'Raw Data'!C52</f>
        <v>1</v>
      </c>
      <c r="AE59" t="str">
        <f>'Raw Data'!D52</f>
        <v>Red</v>
      </c>
      <c r="AF59">
        <f>'Raw Data'!E52</f>
        <v>0</v>
      </c>
      <c r="AG59">
        <f>'Raw Data'!F52</f>
        <v>0</v>
      </c>
      <c r="AH59">
        <f>'Raw Data'!G52</f>
        <v>0</v>
      </c>
      <c r="AI59">
        <f>'Raw Data'!H52</f>
        <v>0</v>
      </c>
      <c r="AJ59">
        <f>'Raw Data'!I52</f>
        <v>0</v>
      </c>
      <c r="AK59">
        <f>'Raw Data'!J52</f>
        <v>0</v>
      </c>
      <c r="AL59">
        <f>'Raw Data'!K52</f>
        <v>1</v>
      </c>
      <c r="AM59">
        <f>'Raw Data'!L52</f>
        <v>0</v>
      </c>
      <c r="AN59">
        <f>'Raw Data'!M52</f>
        <v>0</v>
      </c>
      <c r="AO59">
        <f>'Raw Data'!N52</f>
        <v>0</v>
      </c>
      <c r="AP59">
        <f>'Raw Data'!O52</f>
        <v>0</v>
      </c>
      <c r="AQ59">
        <f>'Raw Data'!P52</f>
        <v>0</v>
      </c>
      <c r="AR59">
        <f>'Raw Data'!Q52</f>
        <v>0</v>
      </c>
      <c r="AS59">
        <f>'Raw Data'!R52</f>
        <v>0</v>
      </c>
      <c r="AT59">
        <f>'Raw Data'!S52</f>
        <v>0</v>
      </c>
    </row>
    <row r="60" spans="28:46" ht="15">
      <c r="AB60">
        <f>'Raw Data'!A53</f>
        <v>9</v>
      </c>
      <c r="AC60">
        <f>'Raw Data'!B53</f>
        <v>2656</v>
      </c>
      <c r="AD60">
        <f>'Raw Data'!C53</f>
        <v>1</v>
      </c>
      <c r="AE60" t="str">
        <f>'Raw Data'!D53</f>
        <v>Red</v>
      </c>
      <c r="AF60">
        <f>'Raw Data'!E53</f>
        <v>0</v>
      </c>
      <c r="AG60">
        <f>'Raw Data'!F53</f>
        <v>0</v>
      </c>
      <c r="AH60">
        <f>'Raw Data'!G53</f>
        <v>0</v>
      </c>
      <c r="AI60">
        <f>'Raw Data'!H53</f>
        <v>0</v>
      </c>
      <c r="AJ60">
        <f>'Raw Data'!I53</f>
        <v>0</v>
      </c>
      <c r="AK60">
        <f>'Raw Data'!J53</f>
        <v>0</v>
      </c>
      <c r="AL60">
        <f>'Raw Data'!K53</f>
        <v>0</v>
      </c>
      <c r="AM60">
        <f>'Raw Data'!L53</f>
        <v>0</v>
      </c>
      <c r="AN60">
        <f>'Raw Data'!M53</f>
        <v>0</v>
      </c>
      <c r="AO60">
        <f>'Raw Data'!N53</f>
        <v>0</v>
      </c>
      <c r="AP60">
        <f>'Raw Data'!O53</f>
        <v>0</v>
      </c>
      <c r="AQ60">
        <f>'Raw Data'!P53</f>
        <v>0</v>
      </c>
      <c r="AR60">
        <f>'Raw Data'!Q53</f>
        <v>0</v>
      </c>
      <c r="AS60">
        <f>'Raw Data'!R53</f>
        <v>0</v>
      </c>
      <c r="AT60">
        <f>'Raw Data'!S53</f>
        <v>0</v>
      </c>
    </row>
    <row r="61" spans="28:46" ht="15">
      <c r="AB61">
        <f>'Raw Data'!A54</f>
        <v>9</v>
      </c>
      <c r="AC61">
        <f>'Raw Data'!B54</f>
        <v>1114</v>
      </c>
      <c r="AD61">
        <f>'Raw Data'!C54</f>
        <v>1</v>
      </c>
      <c r="AE61" t="str">
        <f>'Raw Data'!D54</f>
        <v>Red</v>
      </c>
      <c r="AF61">
        <f>'Raw Data'!E54</f>
        <v>0</v>
      </c>
      <c r="AG61">
        <f>'Raw Data'!F54</f>
        <v>0</v>
      </c>
      <c r="AH61">
        <f>'Raw Data'!G54</f>
        <v>0</v>
      </c>
      <c r="AI61">
        <f>'Raw Data'!H54</f>
        <v>3</v>
      </c>
      <c r="AJ61">
        <f>'Raw Data'!I54</f>
        <v>2</v>
      </c>
      <c r="AK61">
        <f>'Raw Data'!J54</f>
        <v>1</v>
      </c>
      <c r="AL61">
        <f>'Raw Data'!K54</f>
        <v>7</v>
      </c>
      <c r="AM61">
        <f>'Raw Data'!L54</f>
        <v>5</v>
      </c>
      <c r="AN61">
        <f>'Raw Data'!M54</f>
        <v>0</v>
      </c>
      <c r="AO61">
        <f>'Raw Data'!N54</f>
        <v>0</v>
      </c>
      <c r="AP61">
        <f>'Raw Data'!O54</f>
        <v>0</v>
      </c>
      <c r="AQ61">
        <f>'Raw Data'!P54</f>
        <v>2</v>
      </c>
      <c r="AR61">
        <f>'Raw Data'!Q54</f>
        <v>0</v>
      </c>
      <c r="AS61">
        <f>'Raw Data'!R54</f>
        <v>8</v>
      </c>
      <c r="AT61">
        <f>'Raw Data'!S54</f>
        <v>2</v>
      </c>
    </row>
    <row r="62" spans="28:46" ht="15">
      <c r="AB62">
        <f>'Raw Data'!A55</f>
        <v>9</v>
      </c>
      <c r="AC62">
        <f>'Raw Data'!B55</f>
        <v>3062</v>
      </c>
      <c r="AD62">
        <f>'Raw Data'!C55</f>
        <v>1</v>
      </c>
      <c r="AE62" t="str">
        <f>'Raw Data'!D55</f>
        <v>Blue</v>
      </c>
      <c r="AF62">
        <f>'Raw Data'!E55</f>
        <v>0</v>
      </c>
      <c r="AG62">
        <f>'Raw Data'!F55</f>
        <v>0</v>
      </c>
      <c r="AH62">
        <f>'Raw Data'!G55</f>
        <v>0</v>
      </c>
      <c r="AI62">
        <f>'Raw Data'!H55</f>
        <v>0</v>
      </c>
      <c r="AJ62">
        <f>'Raw Data'!I55</f>
        <v>0</v>
      </c>
      <c r="AK62">
        <f>'Raw Data'!J55</f>
        <v>0</v>
      </c>
      <c r="AL62">
        <f>'Raw Data'!K55</f>
        <v>1</v>
      </c>
      <c r="AM62">
        <f>'Raw Data'!L55</f>
        <v>0</v>
      </c>
      <c r="AN62">
        <f>'Raw Data'!M55</f>
        <v>0</v>
      </c>
      <c r="AO62">
        <f>'Raw Data'!N55</f>
        <v>0</v>
      </c>
      <c r="AP62">
        <f>'Raw Data'!O55</f>
        <v>0</v>
      </c>
      <c r="AQ62">
        <f>'Raw Data'!P55</f>
        <v>0</v>
      </c>
      <c r="AR62">
        <f>'Raw Data'!Q55</f>
        <v>0</v>
      </c>
      <c r="AS62">
        <f>'Raw Data'!R55</f>
        <v>0</v>
      </c>
      <c r="AT62">
        <f>'Raw Data'!S55</f>
        <v>0</v>
      </c>
    </row>
    <row r="63" spans="28:46" ht="15">
      <c r="AB63">
        <f>'Raw Data'!A56</f>
        <v>9</v>
      </c>
      <c r="AC63">
        <f>'Raw Data'!B56</f>
        <v>2544</v>
      </c>
      <c r="AD63">
        <f>'Raw Data'!C56</f>
        <v>1</v>
      </c>
      <c r="AE63" t="str">
        <f>'Raw Data'!D56</f>
        <v>Blue</v>
      </c>
      <c r="AF63">
        <f>'Raw Data'!E56</f>
        <v>0</v>
      </c>
      <c r="AG63">
        <f>'Raw Data'!F56</f>
        <v>0</v>
      </c>
      <c r="AH63">
        <f>'Raw Data'!G56</f>
        <v>0</v>
      </c>
      <c r="AI63">
        <f>'Raw Data'!H56</f>
        <v>0</v>
      </c>
      <c r="AJ63">
        <f>'Raw Data'!I56</f>
        <v>0</v>
      </c>
      <c r="AK63">
        <f>'Raw Data'!J56</f>
        <v>0</v>
      </c>
      <c r="AL63">
        <f>'Raw Data'!K56</f>
        <v>0</v>
      </c>
      <c r="AM63">
        <f>'Raw Data'!L56</f>
        <v>0</v>
      </c>
      <c r="AN63">
        <f>'Raw Data'!M56</f>
        <v>0</v>
      </c>
      <c r="AO63">
        <f>'Raw Data'!N56</f>
        <v>0</v>
      </c>
      <c r="AP63">
        <f>'Raw Data'!O56</f>
        <v>0</v>
      </c>
      <c r="AQ63">
        <f>'Raw Data'!P56</f>
        <v>0</v>
      </c>
      <c r="AR63">
        <f>'Raw Data'!Q56</f>
        <v>0</v>
      </c>
      <c r="AS63">
        <f>'Raw Data'!R56</f>
        <v>0</v>
      </c>
      <c r="AT63">
        <f>'Raw Data'!S56</f>
        <v>0</v>
      </c>
    </row>
    <row r="64" spans="28:46" ht="15">
      <c r="AB64">
        <f>'Raw Data'!A57</f>
        <v>9</v>
      </c>
      <c r="AC64">
        <f>'Raw Data'!B57</f>
        <v>2051</v>
      </c>
      <c r="AD64">
        <f>'Raw Data'!C57</f>
        <v>1</v>
      </c>
      <c r="AE64" t="str">
        <f>'Raw Data'!D57</f>
        <v>Blue</v>
      </c>
      <c r="AF64">
        <f>'Raw Data'!E57</f>
        <v>0</v>
      </c>
      <c r="AG64">
        <f>'Raw Data'!F57</f>
        <v>0</v>
      </c>
      <c r="AH64">
        <f>'Raw Data'!G57</f>
        <v>0</v>
      </c>
      <c r="AI64">
        <f>'Raw Data'!H57</f>
        <v>0</v>
      </c>
      <c r="AJ64">
        <f>'Raw Data'!I57</f>
        <v>0</v>
      </c>
      <c r="AK64">
        <f>'Raw Data'!J57</f>
        <v>0</v>
      </c>
      <c r="AL64">
        <f>'Raw Data'!K57</f>
        <v>0</v>
      </c>
      <c r="AM64">
        <f>'Raw Data'!L57</f>
        <v>1</v>
      </c>
      <c r="AN64">
        <f>'Raw Data'!M57</f>
        <v>0</v>
      </c>
      <c r="AO64">
        <f>'Raw Data'!N57</f>
        <v>0</v>
      </c>
      <c r="AP64">
        <f>'Raw Data'!O57</f>
        <v>0</v>
      </c>
      <c r="AQ64">
        <f>'Raw Data'!P57</f>
        <v>0</v>
      </c>
      <c r="AR64">
        <f>'Raw Data'!Q57</f>
        <v>0</v>
      </c>
      <c r="AS64">
        <f>'Raw Data'!R57</f>
        <v>1</v>
      </c>
      <c r="AT64">
        <f>'Raw Data'!S57</f>
        <v>0</v>
      </c>
    </row>
    <row r="65" spans="28:46" ht="15">
      <c r="AB65">
        <f>'Raw Data'!A58</f>
        <v>10</v>
      </c>
      <c r="AC65">
        <f>'Raw Data'!B58</f>
        <v>2252</v>
      </c>
      <c r="AD65">
        <f>'Raw Data'!C58</f>
        <v>1</v>
      </c>
      <c r="AE65" t="str">
        <f>'Raw Data'!D58</f>
        <v>Red</v>
      </c>
      <c r="AF65">
        <f>'Raw Data'!E58</f>
        <v>0</v>
      </c>
      <c r="AG65">
        <f>'Raw Data'!F58</f>
        <v>0</v>
      </c>
      <c r="AH65">
        <f>'Raw Data'!G58</f>
        <v>0</v>
      </c>
      <c r="AI65">
        <f>'Raw Data'!H58</f>
        <v>0</v>
      </c>
      <c r="AJ65">
        <f>'Raw Data'!I58</f>
        <v>0</v>
      </c>
      <c r="AK65">
        <f>'Raw Data'!J58</f>
        <v>0</v>
      </c>
      <c r="AL65">
        <f>'Raw Data'!K58</f>
        <v>0</v>
      </c>
      <c r="AM65">
        <f>'Raw Data'!L58</f>
        <v>2</v>
      </c>
      <c r="AN65">
        <f>'Raw Data'!M58</f>
        <v>0</v>
      </c>
      <c r="AO65">
        <f>'Raw Data'!N58</f>
        <v>0</v>
      </c>
      <c r="AP65">
        <f>'Raw Data'!O58</f>
        <v>0</v>
      </c>
      <c r="AQ65">
        <f>'Raw Data'!P58</f>
        <v>0</v>
      </c>
      <c r="AR65">
        <f>'Raw Data'!Q58</f>
        <v>0</v>
      </c>
      <c r="AS65">
        <f>'Raw Data'!R58</f>
        <v>2</v>
      </c>
      <c r="AT65">
        <f>'Raw Data'!S58</f>
        <v>0</v>
      </c>
    </row>
    <row r="66" spans="28:46" ht="15">
      <c r="AB66">
        <f>'Raw Data'!A59</f>
        <v>10</v>
      </c>
      <c r="AC66">
        <f>'Raw Data'!B59</f>
        <v>2614</v>
      </c>
      <c r="AD66">
        <f>'Raw Data'!C59</f>
        <v>1</v>
      </c>
      <c r="AE66" t="str">
        <f>'Raw Data'!D59</f>
        <v>Red</v>
      </c>
      <c r="AF66">
        <f>'Raw Data'!E59</f>
        <v>0</v>
      </c>
      <c r="AG66">
        <f>'Raw Data'!F59</f>
        <v>0</v>
      </c>
      <c r="AH66">
        <f>'Raw Data'!G59</f>
        <v>0</v>
      </c>
      <c r="AI66">
        <f>'Raw Data'!H59</f>
        <v>2</v>
      </c>
      <c r="AJ66">
        <f>'Raw Data'!I59</f>
        <v>2</v>
      </c>
      <c r="AK66">
        <f>'Raw Data'!J59</f>
        <v>0</v>
      </c>
      <c r="AL66">
        <f>'Raw Data'!K59</f>
        <v>6</v>
      </c>
      <c r="AM66">
        <f>'Raw Data'!L59</f>
        <v>0</v>
      </c>
      <c r="AN66">
        <f>'Raw Data'!M59</f>
        <v>1</v>
      </c>
      <c r="AO66">
        <f>'Raw Data'!N59</f>
        <v>0</v>
      </c>
      <c r="AP66">
        <f>'Raw Data'!O59</f>
        <v>0</v>
      </c>
      <c r="AQ66">
        <f>'Raw Data'!P59</f>
        <v>0</v>
      </c>
      <c r="AR66">
        <f>'Raw Data'!Q59</f>
        <v>0</v>
      </c>
      <c r="AS66">
        <f>'Raw Data'!R59</f>
        <v>0</v>
      </c>
      <c r="AT66">
        <f>'Raw Data'!S59</f>
        <v>3</v>
      </c>
    </row>
    <row r="67" spans="28:46" ht="15">
      <c r="AB67">
        <f>'Raw Data'!A60</f>
        <v>10</v>
      </c>
      <c r="AC67">
        <f>'Raw Data'!B60</f>
        <v>1743</v>
      </c>
      <c r="AD67">
        <f>'Raw Data'!C60</f>
        <v>1</v>
      </c>
      <c r="AE67" t="str">
        <f>'Raw Data'!D60</f>
        <v>Red</v>
      </c>
      <c r="AF67">
        <f>'Raw Data'!E60</f>
        <v>0</v>
      </c>
      <c r="AG67">
        <f>'Raw Data'!F60</f>
        <v>0</v>
      </c>
      <c r="AH67">
        <f>'Raw Data'!G60</f>
        <v>0</v>
      </c>
      <c r="AI67">
        <f>'Raw Data'!H60</f>
        <v>0</v>
      </c>
      <c r="AJ67">
        <f>'Raw Data'!I60</f>
        <v>0</v>
      </c>
      <c r="AK67">
        <f>'Raw Data'!J60</f>
        <v>0</v>
      </c>
      <c r="AL67">
        <f>'Raw Data'!K60</f>
        <v>0</v>
      </c>
      <c r="AM67">
        <f>'Raw Data'!L60</f>
        <v>0</v>
      </c>
      <c r="AN67">
        <f>'Raw Data'!M60</f>
        <v>2</v>
      </c>
      <c r="AO67">
        <f>'Raw Data'!N60</f>
        <v>0</v>
      </c>
      <c r="AP67">
        <f>'Raw Data'!O60</f>
        <v>0</v>
      </c>
      <c r="AQ67">
        <f>'Raw Data'!P60</f>
        <v>0</v>
      </c>
      <c r="AR67">
        <f>'Raw Data'!Q60</f>
        <v>0</v>
      </c>
      <c r="AS67">
        <f>'Raw Data'!R60</f>
        <v>0</v>
      </c>
      <c r="AT67">
        <f>'Raw Data'!S60</f>
        <v>2</v>
      </c>
    </row>
    <row r="68" spans="28:46" ht="15">
      <c r="AB68">
        <f>'Raw Data'!A61</f>
        <v>10</v>
      </c>
      <c r="AC68">
        <f>'Raw Data'!B61</f>
        <v>128</v>
      </c>
      <c r="AD68">
        <f>'Raw Data'!C61</f>
        <v>1</v>
      </c>
      <c r="AE68" t="str">
        <f>'Raw Data'!D61</f>
        <v>Blue</v>
      </c>
      <c r="AF68">
        <f>'Raw Data'!E61</f>
        <v>0</v>
      </c>
      <c r="AG68">
        <f>'Raw Data'!F61</f>
        <v>0</v>
      </c>
      <c r="AH68">
        <f>'Raw Data'!G61</f>
        <v>0</v>
      </c>
      <c r="AI68">
        <f>'Raw Data'!H61</f>
        <v>0</v>
      </c>
      <c r="AJ68">
        <f>'Raw Data'!I61</f>
        <v>0</v>
      </c>
      <c r="AK68">
        <f>'Raw Data'!J61</f>
        <v>0</v>
      </c>
      <c r="AL68">
        <f>'Raw Data'!K61</f>
        <v>0</v>
      </c>
      <c r="AM68">
        <f>'Raw Data'!L61</f>
        <v>0</v>
      </c>
      <c r="AN68">
        <f>'Raw Data'!M61</f>
        <v>0</v>
      </c>
      <c r="AO68">
        <f>'Raw Data'!N61</f>
        <v>0</v>
      </c>
      <c r="AP68">
        <f>'Raw Data'!O61</f>
        <v>0</v>
      </c>
      <c r="AQ68">
        <f>'Raw Data'!P61</f>
        <v>0</v>
      </c>
      <c r="AR68">
        <f>'Raw Data'!Q61</f>
        <v>0</v>
      </c>
      <c r="AS68">
        <f>'Raw Data'!R61</f>
        <v>0</v>
      </c>
      <c r="AT68">
        <f>'Raw Data'!S61</f>
        <v>0</v>
      </c>
    </row>
    <row r="69" spans="28:46" ht="15">
      <c r="AB69">
        <f>'Raw Data'!A62</f>
        <v>10</v>
      </c>
      <c r="AC69">
        <f>'Raw Data'!B62</f>
        <v>1249</v>
      </c>
      <c r="AD69">
        <f>'Raw Data'!C62</f>
        <v>1</v>
      </c>
      <c r="AE69" t="str">
        <f>'Raw Data'!D62</f>
        <v>Blue</v>
      </c>
      <c r="AF69">
        <f>'Raw Data'!E62</f>
        <v>0</v>
      </c>
      <c r="AG69">
        <f>'Raw Data'!F62</f>
        <v>0</v>
      </c>
      <c r="AH69">
        <f>'Raw Data'!G62</f>
        <v>0</v>
      </c>
      <c r="AI69">
        <f>'Raw Data'!H62</f>
        <v>0</v>
      </c>
      <c r="AJ69">
        <f>'Raw Data'!I62</f>
        <v>0</v>
      </c>
      <c r="AK69">
        <f>'Raw Data'!J62</f>
        <v>0</v>
      </c>
      <c r="AL69">
        <f>'Raw Data'!K62</f>
        <v>1</v>
      </c>
      <c r="AM69">
        <f>'Raw Data'!L62</f>
        <v>0</v>
      </c>
      <c r="AN69">
        <f>'Raw Data'!M62</f>
        <v>0</v>
      </c>
      <c r="AO69">
        <f>'Raw Data'!N62</f>
        <v>0</v>
      </c>
      <c r="AP69">
        <f>'Raw Data'!O62</f>
        <v>0</v>
      </c>
      <c r="AQ69">
        <f>'Raw Data'!P62</f>
        <v>0</v>
      </c>
      <c r="AR69">
        <f>'Raw Data'!Q62</f>
        <v>0</v>
      </c>
      <c r="AS69">
        <f>'Raw Data'!R62</f>
        <v>0</v>
      </c>
      <c r="AT69">
        <f>'Raw Data'!S62</f>
        <v>0</v>
      </c>
    </row>
    <row r="70" spans="28:46" ht="15">
      <c r="AB70">
        <f>'Raw Data'!A63</f>
        <v>10</v>
      </c>
      <c r="AC70">
        <f>'Raw Data'!B63</f>
        <v>1708</v>
      </c>
      <c r="AD70">
        <f>'Raw Data'!C63</f>
        <v>1</v>
      </c>
      <c r="AE70" t="str">
        <f>'Raw Data'!D63</f>
        <v>Blue</v>
      </c>
      <c r="AF70">
        <f>'Raw Data'!E63</f>
        <v>0</v>
      </c>
      <c r="AG70">
        <f>'Raw Data'!F63</f>
        <v>0</v>
      </c>
      <c r="AH70">
        <f>'Raw Data'!G63</f>
        <v>0</v>
      </c>
      <c r="AI70">
        <f>'Raw Data'!H63</f>
        <v>0</v>
      </c>
      <c r="AJ70">
        <f>'Raw Data'!I63</f>
        <v>0</v>
      </c>
      <c r="AK70">
        <f>'Raw Data'!J63</f>
        <v>0</v>
      </c>
      <c r="AL70">
        <f>'Raw Data'!K63</f>
        <v>0</v>
      </c>
      <c r="AM70">
        <f>'Raw Data'!L63</f>
        <v>0</v>
      </c>
      <c r="AN70">
        <f>'Raw Data'!M63</f>
        <v>0</v>
      </c>
      <c r="AO70">
        <f>'Raw Data'!N63</f>
        <v>0</v>
      </c>
      <c r="AP70">
        <f>'Raw Data'!O63</f>
        <v>0</v>
      </c>
      <c r="AQ70">
        <f>'Raw Data'!P63</f>
        <v>0</v>
      </c>
      <c r="AR70">
        <f>'Raw Data'!Q63</f>
        <v>0</v>
      </c>
      <c r="AS70">
        <f>'Raw Data'!R63</f>
        <v>0</v>
      </c>
      <c r="AT70">
        <f>'Raw Data'!S63</f>
        <v>0</v>
      </c>
    </row>
    <row r="71" spans="28:46" ht="15">
      <c r="AB71">
        <f>'Raw Data'!A64</f>
        <v>11</v>
      </c>
      <c r="AC71">
        <f>'Raw Data'!B64</f>
        <v>2618</v>
      </c>
      <c r="AD71">
        <f>'Raw Data'!C64</f>
        <v>1</v>
      </c>
      <c r="AE71" t="str">
        <f>'Raw Data'!D64</f>
        <v>Red</v>
      </c>
      <c r="AF71">
        <f>'Raw Data'!E64</f>
        <v>0</v>
      </c>
      <c r="AG71">
        <f>'Raw Data'!F64</f>
        <v>0</v>
      </c>
      <c r="AH71">
        <f>'Raw Data'!G64</f>
        <v>0</v>
      </c>
      <c r="AI71">
        <f>'Raw Data'!H64</f>
        <v>0</v>
      </c>
      <c r="AJ71">
        <f>'Raw Data'!I64</f>
        <v>0</v>
      </c>
      <c r="AK71">
        <f>'Raw Data'!J64</f>
        <v>0</v>
      </c>
      <c r="AL71">
        <f>'Raw Data'!K64</f>
        <v>0</v>
      </c>
      <c r="AM71">
        <f>'Raw Data'!L64</f>
        <v>0</v>
      </c>
      <c r="AN71">
        <f>'Raw Data'!M64</f>
        <v>0</v>
      </c>
      <c r="AO71">
        <f>'Raw Data'!N64</f>
        <v>0</v>
      </c>
      <c r="AP71">
        <f>'Raw Data'!O64</f>
        <v>0</v>
      </c>
      <c r="AQ71">
        <f>'Raw Data'!P64</f>
        <v>0</v>
      </c>
      <c r="AR71">
        <f>'Raw Data'!Q64</f>
        <v>0</v>
      </c>
      <c r="AS71">
        <f>'Raw Data'!R64</f>
        <v>0</v>
      </c>
      <c r="AT71">
        <f>'Raw Data'!S64</f>
        <v>0</v>
      </c>
    </row>
    <row r="72" spans="28:46" ht="15">
      <c r="AB72">
        <f>'Raw Data'!A65</f>
        <v>11</v>
      </c>
      <c r="AC72">
        <f>'Raw Data'!B65</f>
        <v>1503</v>
      </c>
      <c r="AD72">
        <f>'Raw Data'!C65</f>
        <v>1</v>
      </c>
      <c r="AE72" t="str">
        <f>'Raw Data'!D65</f>
        <v>Red</v>
      </c>
      <c r="AF72">
        <f>'Raw Data'!E65</f>
        <v>0</v>
      </c>
      <c r="AG72">
        <f>'Raw Data'!F65</f>
        <v>0</v>
      </c>
      <c r="AH72">
        <f>'Raw Data'!G65</f>
        <v>0</v>
      </c>
      <c r="AI72">
        <f>'Raw Data'!H65</f>
        <v>0</v>
      </c>
      <c r="AJ72">
        <f>'Raw Data'!I65</f>
        <v>0</v>
      </c>
      <c r="AK72">
        <f>'Raw Data'!J65</f>
        <v>0</v>
      </c>
      <c r="AL72">
        <f>'Raw Data'!K65</f>
        <v>1</v>
      </c>
      <c r="AM72">
        <f>'Raw Data'!L65</f>
        <v>0</v>
      </c>
      <c r="AN72">
        <f>'Raw Data'!M65</f>
        <v>2</v>
      </c>
      <c r="AO72">
        <f>'Raw Data'!N65</f>
        <v>0</v>
      </c>
      <c r="AP72">
        <f>'Raw Data'!O65</f>
        <v>0</v>
      </c>
      <c r="AQ72">
        <f>'Raw Data'!P65</f>
        <v>0</v>
      </c>
      <c r="AR72">
        <f>'Raw Data'!Q65</f>
        <v>0</v>
      </c>
      <c r="AS72">
        <f>'Raw Data'!R65</f>
        <v>0</v>
      </c>
      <c r="AT72">
        <f>'Raw Data'!S65</f>
        <v>2</v>
      </c>
    </row>
    <row r="73" spans="28:46" ht="15">
      <c r="AB73">
        <f>'Raw Data'!A66</f>
        <v>11</v>
      </c>
      <c r="AC73">
        <f>'Raw Data'!B66</f>
        <v>222</v>
      </c>
      <c r="AD73">
        <f>'Raw Data'!C66</f>
        <v>1</v>
      </c>
      <c r="AE73" t="str">
        <f>'Raw Data'!D66</f>
        <v>Red</v>
      </c>
      <c r="AF73">
        <f>'Raw Data'!E66</f>
        <v>0</v>
      </c>
      <c r="AG73">
        <f>'Raw Data'!F66</f>
        <v>0</v>
      </c>
      <c r="AH73">
        <f>'Raw Data'!G66</f>
        <v>0</v>
      </c>
      <c r="AI73">
        <f>'Raw Data'!H66</f>
        <v>0</v>
      </c>
      <c r="AJ73">
        <f>'Raw Data'!I66</f>
        <v>0</v>
      </c>
      <c r="AK73">
        <f>'Raw Data'!J66</f>
        <v>0</v>
      </c>
      <c r="AL73">
        <f>'Raw Data'!K66</f>
        <v>0</v>
      </c>
      <c r="AM73">
        <f>'Raw Data'!L66</f>
        <v>0</v>
      </c>
      <c r="AN73">
        <f>'Raw Data'!M66</f>
        <v>0</v>
      </c>
      <c r="AO73">
        <f>'Raw Data'!N66</f>
        <v>0</v>
      </c>
      <c r="AP73">
        <f>'Raw Data'!O66</f>
        <v>0</v>
      </c>
      <c r="AQ73">
        <f>'Raw Data'!P66</f>
        <v>0</v>
      </c>
      <c r="AR73">
        <f>'Raw Data'!Q66</f>
        <v>1</v>
      </c>
      <c r="AS73">
        <f>'Raw Data'!R66</f>
        <v>-1</v>
      </c>
      <c r="AT73">
        <f>'Raw Data'!S66</f>
        <v>0</v>
      </c>
    </row>
    <row r="74" spans="28:46" ht="15">
      <c r="AB74">
        <f>'Raw Data'!A67</f>
        <v>11</v>
      </c>
      <c r="AC74">
        <f>'Raw Data'!B67</f>
        <v>3193</v>
      </c>
      <c r="AD74">
        <f>'Raw Data'!C67</f>
        <v>1</v>
      </c>
      <c r="AE74" t="str">
        <f>'Raw Data'!D67</f>
        <v>Blue</v>
      </c>
      <c r="AF74">
        <f>'Raw Data'!E67</f>
        <v>0</v>
      </c>
      <c r="AG74">
        <f>'Raw Data'!F67</f>
        <v>0</v>
      </c>
      <c r="AH74">
        <f>'Raw Data'!G67</f>
        <v>0</v>
      </c>
      <c r="AI74">
        <f>'Raw Data'!H67</f>
        <v>0</v>
      </c>
      <c r="AJ74">
        <f>'Raw Data'!I67</f>
        <v>0</v>
      </c>
      <c r="AK74">
        <f>'Raw Data'!J67</f>
        <v>0</v>
      </c>
      <c r="AL74">
        <f>'Raw Data'!K67</f>
        <v>1</v>
      </c>
      <c r="AM74">
        <f>'Raw Data'!L67</f>
        <v>0</v>
      </c>
      <c r="AN74">
        <f>'Raw Data'!M67</f>
        <v>0</v>
      </c>
      <c r="AO74">
        <f>'Raw Data'!N67</f>
        <v>0</v>
      </c>
      <c r="AP74">
        <f>'Raw Data'!O67</f>
        <v>0</v>
      </c>
      <c r="AQ74">
        <f>'Raw Data'!P67</f>
        <v>0</v>
      </c>
      <c r="AR74">
        <f>'Raw Data'!Q67</f>
        <v>0</v>
      </c>
      <c r="AS74">
        <f>'Raw Data'!R67</f>
        <v>0</v>
      </c>
      <c r="AT74">
        <f>'Raw Data'!S67</f>
        <v>0</v>
      </c>
    </row>
    <row r="75" spans="28:46" ht="15">
      <c r="AB75">
        <f>'Raw Data'!A68</f>
        <v>11</v>
      </c>
      <c r="AC75">
        <f>'Raw Data'!B68</f>
        <v>2641</v>
      </c>
      <c r="AD75">
        <f>'Raw Data'!C68</f>
        <v>1</v>
      </c>
      <c r="AE75" t="str">
        <f>'Raw Data'!D68</f>
        <v>Blue</v>
      </c>
      <c r="AF75">
        <f>'Raw Data'!E68</f>
        <v>0</v>
      </c>
      <c r="AG75">
        <f>'Raw Data'!F68</f>
        <v>0</v>
      </c>
      <c r="AH75">
        <f>'Raw Data'!G68</f>
        <v>0</v>
      </c>
      <c r="AI75">
        <f>'Raw Data'!H68</f>
        <v>0</v>
      </c>
      <c r="AJ75">
        <f>'Raw Data'!I68</f>
        <v>0</v>
      </c>
      <c r="AK75">
        <f>'Raw Data'!J68</f>
        <v>0</v>
      </c>
      <c r="AL75">
        <f>'Raw Data'!K68</f>
        <v>1</v>
      </c>
      <c r="AM75">
        <f>'Raw Data'!L68</f>
        <v>0</v>
      </c>
      <c r="AN75">
        <f>'Raw Data'!M68</f>
        <v>0</v>
      </c>
      <c r="AO75">
        <f>'Raw Data'!N68</f>
        <v>0</v>
      </c>
      <c r="AP75">
        <f>'Raw Data'!O68</f>
        <v>0</v>
      </c>
      <c r="AQ75">
        <f>'Raw Data'!P68</f>
        <v>0</v>
      </c>
      <c r="AR75">
        <f>'Raw Data'!Q68</f>
        <v>0</v>
      </c>
      <c r="AS75">
        <f>'Raw Data'!R68</f>
        <v>0</v>
      </c>
      <c r="AT75">
        <f>'Raw Data'!S68</f>
        <v>0</v>
      </c>
    </row>
    <row r="76" spans="28:46" ht="15">
      <c r="AB76">
        <f>'Raw Data'!A69</f>
        <v>11</v>
      </c>
      <c r="AC76">
        <f>'Raw Data'!B69</f>
        <v>1317</v>
      </c>
      <c r="AD76">
        <f>'Raw Data'!C69</f>
        <v>1</v>
      </c>
      <c r="AE76" t="str">
        <f>'Raw Data'!D69</f>
        <v>Blue</v>
      </c>
      <c r="AF76">
        <f>'Raw Data'!E69</f>
        <v>0</v>
      </c>
      <c r="AG76">
        <f>'Raw Data'!F69</f>
        <v>0</v>
      </c>
      <c r="AH76">
        <f>'Raw Data'!G69</f>
        <v>1</v>
      </c>
      <c r="AI76">
        <f>'Raw Data'!H69</f>
        <v>0</v>
      </c>
      <c r="AJ76">
        <f>'Raw Data'!I69</f>
        <v>0</v>
      </c>
      <c r="AK76">
        <f>'Raw Data'!J69</f>
        <v>0</v>
      </c>
      <c r="AL76">
        <f>'Raw Data'!K69</f>
        <v>0</v>
      </c>
      <c r="AM76">
        <f>'Raw Data'!L69</f>
        <v>2</v>
      </c>
      <c r="AN76">
        <f>'Raw Data'!M69</f>
        <v>0</v>
      </c>
      <c r="AO76">
        <f>'Raw Data'!N69</f>
        <v>0</v>
      </c>
      <c r="AP76">
        <f>'Raw Data'!O69</f>
        <v>0</v>
      </c>
      <c r="AQ76">
        <f>'Raw Data'!P69</f>
        <v>0</v>
      </c>
      <c r="AR76">
        <f>'Raw Data'!Q69</f>
        <v>0</v>
      </c>
      <c r="AS76">
        <f>'Raw Data'!R69</f>
        <v>2</v>
      </c>
      <c r="AT76">
        <f>'Raw Data'!S69</f>
        <v>0</v>
      </c>
    </row>
    <row r="77" spans="28:46" ht="15">
      <c r="AB77">
        <f>'Raw Data'!A70</f>
        <v>12</v>
      </c>
      <c r="AC77">
        <f>'Raw Data'!B70</f>
        <v>1708</v>
      </c>
      <c r="AD77">
        <f>'Raw Data'!C70</f>
        <v>1</v>
      </c>
      <c r="AE77" t="str">
        <f>'Raw Data'!D70</f>
        <v>Red</v>
      </c>
      <c r="AF77">
        <f>'Raw Data'!E70</f>
        <v>0</v>
      </c>
      <c r="AG77">
        <f>'Raw Data'!F70</f>
        <v>0</v>
      </c>
      <c r="AH77">
        <f>'Raw Data'!G70</f>
        <v>0</v>
      </c>
      <c r="AI77">
        <f>'Raw Data'!H70</f>
        <v>0</v>
      </c>
      <c r="AJ77">
        <f>'Raw Data'!I70</f>
        <v>0</v>
      </c>
      <c r="AK77">
        <f>'Raw Data'!J70</f>
        <v>0</v>
      </c>
      <c r="AL77">
        <f>'Raw Data'!K70</f>
        <v>0</v>
      </c>
      <c r="AM77">
        <f>'Raw Data'!L70</f>
        <v>0</v>
      </c>
      <c r="AN77">
        <f>'Raw Data'!M70</f>
        <v>0</v>
      </c>
      <c r="AO77">
        <f>'Raw Data'!N70</f>
        <v>0</v>
      </c>
      <c r="AP77">
        <f>'Raw Data'!O70</f>
        <v>0</v>
      </c>
      <c r="AQ77">
        <f>'Raw Data'!P70</f>
        <v>0</v>
      </c>
      <c r="AR77">
        <f>'Raw Data'!Q70</f>
        <v>0</v>
      </c>
      <c r="AS77">
        <f>'Raw Data'!R70</f>
        <v>0</v>
      </c>
      <c r="AT77">
        <f>'Raw Data'!S70</f>
        <v>0</v>
      </c>
    </row>
    <row r="78" spans="28:46" ht="15">
      <c r="AB78">
        <f>'Raw Data'!A71</f>
        <v>12</v>
      </c>
      <c r="AC78">
        <f>'Raw Data'!B71</f>
        <v>2252</v>
      </c>
      <c r="AD78">
        <f>'Raw Data'!C71</f>
        <v>1</v>
      </c>
      <c r="AE78" t="str">
        <f>'Raw Data'!D71</f>
        <v>Red</v>
      </c>
      <c r="AF78">
        <f>'Raw Data'!E71</f>
        <v>0</v>
      </c>
      <c r="AG78">
        <f>'Raw Data'!F71</f>
        <v>0</v>
      </c>
      <c r="AH78">
        <f>'Raw Data'!G71</f>
        <v>0</v>
      </c>
      <c r="AI78">
        <f>'Raw Data'!H71</f>
        <v>0</v>
      </c>
      <c r="AJ78">
        <f>'Raw Data'!I71</f>
        <v>0</v>
      </c>
      <c r="AK78">
        <f>'Raw Data'!J71</f>
        <v>0</v>
      </c>
      <c r="AL78">
        <f>'Raw Data'!K71</f>
        <v>2</v>
      </c>
      <c r="AM78">
        <f>'Raw Data'!L71</f>
        <v>4</v>
      </c>
      <c r="AN78">
        <f>'Raw Data'!M71</f>
        <v>0</v>
      </c>
      <c r="AO78">
        <f>'Raw Data'!N71</f>
        <v>0</v>
      </c>
      <c r="AP78">
        <f>'Raw Data'!O71</f>
        <v>0</v>
      </c>
      <c r="AQ78">
        <f>'Raw Data'!P71</f>
        <v>0</v>
      </c>
      <c r="AR78">
        <f>'Raw Data'!Q71</f>
        <v>0</v>
      </c>
      <c r="AS78">
        <f>'Raw Data'!R71</f>
        <v>4</v>
      </c>
      <c r="AT78">
        <f>'Raw Data'!S71</f>
        <v>0</v>
      </c>
    </row>
    <row r="79" spans="28:46" ht="15">
      <c r="AB79">
        <f>'Raw Data'!A72</f>
        <v>12</v>
      </c>
      <c r="AC79">
        <f>'Raw Data'!B72</f>
        <v>1990</v>
      </c>
      <c r="AD79">
        <f>'Raw Data'!C72</f>
        <v>1</v>
      </c>
      <c r="AE79" t="str">
        <f>'Raw Data'!D72</f>
        <v>Red</v>
      </c>
      <c r="AF79">
        <f>'Raw Data'!E72</f>
        <v>0</v>
      </c>
      <c r="AG79">
        <f>'Raw Data'!F72</f>
        <v>0</v>
      </c>
      <c r="AH79">
        <f>'Raw Data'!G72</f>
        <v>0</v>
      </c>
      <c r="AI79">
        <f>'Raw Data'!H72</f>
        <v>0</v>
      </c>
      <c r="AJ79">
        <f>'Raw Data'!I72</f>
        <v>0</v>
      </c>
      <c r="AK79">
        <f>'Raw Data'!J72</f>
        <v>0</v>
      </c>
      <c r="AL79">
        <f>'Raw Data'!K72</f>
        <v>0</v>
      </c>
      <c r="AM79">
        <f>'Raw Data'!L72</f>
        <v>0</v>
      </c>
      <c r="AN79">
        <f>'Raw Data'!M72</f>
        <v>0</v>
      </c>
      <c r="AO79">
        <f>'Raw Data'!N72</f>
        <v>0</v>
      </c>
      <c r="AP79">
        <f>'Raw Data'!O72</f>
        <v>0</v>
      </c>
      <c r="AQ79">
        <f>'Raw Data'!P72</f>
        <v>0</v>
      </c>
      <c r="AR79">
        <f>'Raw Data'!Q72</f>
        <v>0</v>
      </c>
      <c r="AS79">
        <f>'Raw Data'!R72</f>
        <v>0</v>
      </c>
      <c r="AT79">
        <f>'Raw Data'!S72</f>
        <v>0</v>
      </c>
    </row>
    <row r="80" spans="28:46" ht="15">
      <c r="AB80">
        <f>'Raw Data'!A73</f>
        <v>12</v>
      </c>
      <c r="AC80">
        <f>'Raw Data'!B73</f>
        <v>451</v>
      </c>
      <c r="AD80">
        <f>'Raw Data'!C73</f>
        <v>1</v>
      </c>
      <c r="AE80" t="str">
        <f>'Raw Data'!D73</f>
        <v>Blue</v>
      </c>
      <c r="AF80">
        <f>'Raw Data'!E73</f>
        <v>0</v>
      </c>
      <c r="AG80">
        <f>'Raw Data'!F73</f>
        <v>0</v>
      </c>
      <c r="AH80">
        <f>'Raw Data'!G73</f>
        <v>0</v>
      </c>
      <c r="AI80">
        <f>'Raw Data'!H73</f>
        <v>0</v>
      </c>
      <c r="AJ80">
        <f>'Raw Data'!I73</f>
        <v>0</v>
      </c>
      <c r="AK80">
        <f>'Raw Data'!J73</f>
        <v>0</v>
      </c>
      <c r="AL80">
        <f>'Raw Data'!K73</f>
        <v>3</v>
      </c>
      <c r="AM80">
        <f>'Raw Data'!L73</f>
        <v>4</v>
      </c>
      <c r="AN80">
        <f>'Raw Data'!M73</f>
        <v>0</v>
      </c>
      <c r="AO80">
        <f>'Raw Data'!N73</f>
        <v>0</v>
      </c>
      <c r="AP80">
        <f>'Raw Data'!O73</f>
        <v>0</v>
      </c>
      <c r="AQ80">
        <f>'Raw Data'!P73</f>
        <v>0</v>
      </c>
      <c r="AR80">
        <f>'Raw Data'!Q73</f>
        <v>0</v>
      </c>
      <c r="AS80">
        <f>'Raw Data'!R73</f>
        <v>4</v>
      </c>
      <c r="AT80">
        <f>'Raw Data'!S73</f>
        <v>0</v>
      </c>
    </row>
    <row r="81" spans="28:46" ht="15">
      <c r="AB81">
        <f>'Raw Data'!A74</f>
        <v>12</v>
      </c>
      <c r="AC81">
        <f>'Raw Data'!B74</f>
        <v>1038</v>
      </c>
      <c r="AD81">
        <f>'Raw Data'!C74</f>
        <v>1</v>
      </c>
      <c r="AE81" t="str">
        <f>'Raw Data'!D74</f>
        <v>Blue</v>
      </c>
      <c r="AF81">
        <f>'Raw Data'!E74</f>
        <v>0</v>
      </c>
      <c r="AG81">
        <f>'Raw Data'!F74</f>
        <v>0</v>
      </c>
      <c r="AH81">
        <f>'Raw Data'!G74</f>
        <v>0</v>
      </c>
      <c r="AI81">
        <f>'Raw Data'!H74</f>
        <v>0</v>
      </c>
      <c r="AJ81">
        <f>'Raw Data'!I74</f>
        <v>0</v>
      </c>
      <c r="AK81">
        <f>'Raw Data'!J74</f>
        <v>0</v>
      </c>
      <c r="AL81">
        <f>'Raw Data'!K74</f>
        <v>1</v>
      </c>
      <c r="AM81">
        <f>'Raw Data'!L74</f>
        <v>0</v>
      </c>
      <c r="AN81">
        <f>'Raw Data'!M74</f>
        <v>0</v>
      </c>
      <c r="AO81">
        <f>'Raw Data'!N74</f>
        <v>0</v>
      </c>
      <c r="AP81">
        <f>'Raw Data'!O74</f>
        <v>0</v>
      </c>
      <c r="AQ81">
        <f>'Raw Data'!P74</f>
        <v>0</v>
      </c>
      <c r="AR81">
        <f>'Raw Data'!Q74</f>
        <v>0</v>
      </c>
      <c r="AS81">
        <f>'Raw Data'!R74</f>
        <v>0</v>
      </c>
      <c r="AT81">
        <f>'Raw Data'!S74</f>
        <v>0</v>
      </c>
    </row>
    <row r="82" spans="28:46" ht="15">
      <c r="AB82">
        <f>'Raw Data'!A75</f>
        <v>12</v>
      </c>
      <c r="AC82">
        <f>'Raw Data'!B75</f>
        <v>1114</v>
      </c>
      <c r="AD82">
        <f>'Raw Data'!C75</f>
        <v>1</v>
      </c>
      <c r="AE82" t="str">
        <f>'Raw Data'!D75</f>
        <v>Blue</v>
      </c>
      <c r="AF82">
        <f>'Raw Data'!E75</f>
        <v>0</v>
      </c>
      <c r="AG82">
        <f>'Raw Data'!F75</f>
        <v>0</v>
      </c>
      <c r="AH82">
        <f>'Raw Data'!G75</f>
        <v>0</v>
      </c>
      <c r="AI82">
        <f>'Raw Data'!H75</f>
        <v>3</v>
      </c>
      <c r="AJ82">
        <f>'Raw Data'!I75</f>
        <v>2</v>
      </c>
      <c r="AK82">
        <f>'Raw Data'!J75</f>
        <v>1</v>
      </c>
      <c r="AL82">
        <f>'Raw Data'!K75</f>
        <v>3</v>
      </c>
      <c r="AM82">
        <f>'Raw Data'!L75</f>
        <v>4</v>
      </c>
      <c r="AN82">
        <f>'Raw Data'!M75</f>
        <v>5</v>
      </c>
      <c r="AO82">
        <f>'Raw Data'!N75</f>
        <v>0</v>
      </c>
      <c r="AP82">
        <f>'Raw Data'!O75</f>
        <v>0</v>
      </c>
      <c r="AQ82">
        <f>'Raw Data'!P75</f>
        <v>0</v>
      </c>
      <c r="AR82">
        <f>'Raw Data'!Q75</f>
        <v>0</v>
      </c>
      <c r="AS82">
        <f>'Raw Data'!R75</f>
        <v>5</v>
      </c>
      <c r="AT82">
        <f>'Raw Data'!S75</f>
        <v>7</v>
      </c>
    </row>
    <row r="83" spans="28:46" ht="15">
      <c r="AB83">
        <f>'Raw Data'!A76</f>
        <v>13</v>
      </c>
      <c r="AC83">
        <f>'Raw Data'!B76</f>
        <v>117</v>
      </c>
      <c r="AD83">
        <f>'Raw Data'!C76</f>
        <v>1</v>
      </c>
      <c r="AE83" t="str">
        <f>'Raw Data'!D76</f>
        <v>Red</v>
      </c>
      <c r="AF83">
        <f>'Raw Data'!E76</f>
        <v>0</v>
      </c>
      <c r="AG83">
        <f>'Raw Data'!F76</f>
        <v>0</v>
      </c>
      <c r="AH83">
        <f>'Raw Data'!G76</f>
        <v>0</v>
      </c>
      <c r="AI83">
        <f>'Raw Data'!H76</f>
        <v>0</v>
      </c>
      <c r="AJ83">
        <f>'Raw Data'!I76</f>
        <v>0</v>
      </c>
      <c r="AK83">
        <f>'Raw Data'!J76</f>
        <v>0</v>
      </c>
      <c r="AL83">
        <f>'Raw Data'!K76</f>
        <v>0</v>
      </c>
      <c r="AM83">
        <f>'Raw Data'!L76</f>
        <v>0</v>
      </c>
      <c r="AN83">
        <f>'Raw Data'!M76</f>
        <v>0</v>
      </c>
      <c r="AO83">
        <f>'Raw Data'!N76</f>
        <v>0</v>
      </c>
      <c r="AP83">
        <f>'Raw Data'!O76</f>
        <v>0</v>
      </c>
      <c r="AQ83">
        <f>'Raw Data'!P76</f>
        <v>0</v>
      </c>
      <c r="AR83">
        <f>'Raw Data'!Q76</f>
        <v>0</v>
      </c>
      <c r="AS83">
        <f>'Raw Data'!R76</f>
        <v>0</v>
      </c>
      <c r="AT83">
        <f>'Raw Data'!S76</f>
        <v>0</v>
      </c>
    </row>
    <row r="84" spans="28:46" ht="15">
      <c r="AB84">
        <f>'Raw Data'!A77</f>
        <v>13</v>
      </c>
      <c r="AC84">
        <f>'Raw Data'!B77</f>
        <v>1743</v>
      </c>
      <c r="AD84">
        <f>'Raw Data'!C77</f>
        <v>1</v>
      </c>
      <c r="AE84" t="str">
        <f>'Raw Data'!D77</f>
        <v>Red</v>
      </c>
      <c r="AF84">
        <f>'Raw Data'!E77</f>
        <v>0</v>
      </c>
      <c r="AG84">
        <f>'Raw Data'!F77</f>
        <v>0</v>
      </c>
      <c r="AH84">
        <f>'Raw Data'!G77</f>
        <v>0</v>
      </c>
      <c r="AI84">
        <f>'Raw Data'!H77</f>
        <v>0</v>
      </c>
      <c r="AJ84">
        <f>'Raw Data'!I77</f>
        <v>0</v>
      </c>
      <c r="AK84">
        <f>'Raw Data'!J77</f>
        <v>0</v>
      </c>
      <c r="AL84">
        <f>'Raw Data'!K77</f>
        <v>3</v>
      </c>
      <c r="AM84">
        <f>'Raw Data'!L77</f>
        <v>0</v>
      </c>
      <c r="AN84">
        <f>'Raw Data'!M77</f>
        <v>2</v>
      </c>
      <c r="AO84">
        <f>'Raw Data'!N77</f>
        <v>0</v>
      </c>
      <c r="AP84">
        <f>'Raw Data'!O77</f>
        <v>0</v>
      </c>
      <c r="AQ84">
        <f>'Raw Data'!P77</f>
        <v>0</v>
      </c>
      <c r="AR84">
        <f>'Raw Data'!Q77</f>
        <v>0</v>
      </c>
      <c r="AS84">
        <f>'Raw Data'!R77</f>
        <v>0</v>
      </c>
      <c r="AT84">
        <f>'Raw Data'!S77</f>
        <v>2</v>
      </c>
    </row>
    <row r="85" spans="28:46" ht="15">
      <c r="AB85">
        <f>'Raw Data'!A78</f>
        <v>13</v>
      </c>
      <c r="AC85">
        <f>'Raw Data'!B78</f>
        <v>337</v>
      </c>
      <c r="AD85">
        <f>'Raw Data'!C78</f>
        <v>1</v>
      </c>
      <c r="AE85" t="str">
        <f>'Raw Data'!D78</f>
        <v>Red</v>
      </c>
      <c r="AF85">
        <f>'Raw Data'!E78</f>
        <v>0</v>
      </c>
      <c r="AG85">
        <f>'Raw Data'!F78</f>
        <v>0</v>
      </c>
      <c r="AH85">
        <f>'Raw Data'!G78</f>
        <v>0</v>
      </c>
      <c r="AI85">
        <f>'Raw Data'!H78</f>
        <v>0</v>
      </c>
      <c r="AJ85">
        <f>'Raw Data'!I78</f>
        <v>0</v>
      </c>
      <c r="AK85">
        <f>'Raw Data'!J78</f>
        <v>0</v>
      </c>
      <c r="AL85">
        <f>'Raw Data'!K78</f>
        <v>1</v>
      </c>
      <c r="AM85">
        <f>'Raw Data'!L78</f>
        <v>1</v>
      </c>
      <c r="AN85">
        <f>'Raw Data'!M78</f>
        <v>1</v>
      </c>
      <c r="AO85">
        <f>'Raw Data'!N78</f>
        <v>0</v>
      </c>
      <c r="AP85">
        <f>'Raw Data'!O78</f>
        <v>0</v>
      </c>
      <c r="AQ85">
        <f>'Raw Data'!P78</f>
        <v>0</v>
      </c>
      <c r="AR85">
        <f>'Raw Data'!Q78</f>
        <v>0</v>
      </c>
      <c r="AS85">
        <f>'Raw Data'!R78</f>
        <v>1</v>
      </c>
      <c r="AT85">
        <f>'Raw Data'!S78</f>
        <v>1</v>
      </c>
    </row>
    <row r="86" spans="28:46" ht="15">
      <c r="AB86">
        <f>'Raw Data'!A79</f>
        <v>13</v>
      </c>
      <c r="AC86">
        <f>'Raw Data'!B79</f>
        <v>2603</v>
      </c>
      <c r="AD86">
        <f>'Raw Data'!C79</f>
        <v>1</v>
      </c>
      <c r="AE86" t="str">
        <f>'Raw Data'!D79</f>
        <v>Blue</v>
      </c>
      <c r="AF86">
        <f>'Raw Data'!E79</f>
        <v>0</v>
      </c>
      <c r="AG86">
        <f>'Raw Data'!F79</f>
        <v>0</v>
      </c>
      <c r="AH86">
        <f>'Raw Data'!G79</f>
        <v>0</v>
      </c>
      <c r="AI86">
        <f>'Raw Data'!H79</f>
        <v>0</v>
      </c>
      <c r="AJ86">
        <f>'Raw Data'!I79</f>
        <v>0</v>
      </c>
      <c r="AK86">
        <f>'Raw Data'!J79</f>
        <v>0</v>
      </c>
      <c r="AL86">
        <f>'Raw Data'!K79</f>
        <v>3</v>
      </c>
      <c r="AM86">
        <f>'Raw Data'!L79</f>
        <v>0</v>
      </c>
      <c r="AN86">
        <f>'Raw Data'!M79</f>
        <v>0</v>
      </c>
      <c r="AO86">
        <f>'Raw Data'!N79</f>
        <v>0</v>
      </c>
      <c r="AP86">
        <f>'Raw Data'!O79</f>
        <v>0</v>
      </c>
      <c r="AQ86">
        <f>'Raw Data'!P79</f>
        <v>0</v>
      </c>
      <c r="AR86">
        <f>'Raw Data'!Q79</f>
        <v>0</v>
      </c>
      <c r="AS86">
        <f>'Raw Data'!R79</f>
        <v>0</v>
      </c>
      <c r="AT86">
        <f>'Raw Data'!S79</f>
        <v>0</v>
      </c>
    </row>
    <row r="87" spans="28:46" ht="15">
      <c r="AB87">
        <f>'Raw Data'!A80</f>
        <v>13</v>
      </c>
      <c r="AC87">
        <f>'Raw Data'!B80</f>
        <v>3193</v>
      </c>
      <c r="AD87">
        <f>'Raw Data'!C80</f>
        <v>1</v>
      </c>
      <c r="AE87" t="str">
        <f>'Raw Data'!D80</f>
        <v>Blue</v>
      </c>
      <c r="AF87">
        <f>'Raw Data'!E80</f>
        <v>0</v>
      </c>
      <c r="AG87">
        <f>'Raw Data'!F80</f>
        <v>0</v>
      </c>
      <c r="AH87">
        <f>'Raw Data'!G80</f>
        <v>0</v>
      </c>
      <c r="AI87">
        <f>'Raw Data'!H80</f>
        <v>0</v>
      </c>
      <c r="AJ87">
        <f>'Raw Data'!I80</f>
        <v>0</v>
      </c>
      <c r="AK87">
        <f>'Raw Data'!J80</f>
        <v>0</v>
      </c>
      <c r="AL87">
        <f>'Raw Data'!K80</f>
        <v>4</v>
      </c>
      <c r="AM87">
        <f>'Raw Data'!L80</f>
        <v>0</v>
      </c>
      <c r="AN87">
        <f>'Raw Data'!M80</f>
        <v>2</v>
      </c>
      <c r="AO87">
        <f>'Raw Data'!N80</f>
        <v>0</v>
      </c>
      <c r="AP87">
        <f>'Raw Data'!O80</f>
        <v>0</v>
      </c>
      <c r="AQ87">
        <f>'Raw Data'!P80</f>
        <v>0</v>
      </c>
      <c r="AR87">
        <f>'Raw Data'!Q80</f>
        <v>1</v>
      </c>
      <c r="AS87">
        <f>'Raw Data'!R80</f>
        <v>-1</v>
      </c>
      <c r="AT87">
        <f>'Raw Data'!S80</f>
        <v>2</v>
      </c>
    </row>
    <row r="88" spans="28:46" ht="15">
      <c r="AB88">
        <f>'Raw Data'!A81</f>
        <v>13</v>
      </c>
      <c r="AC88">
        <f>'Raw Data'!B81</f>
        <v>3062</v>
      </c>
      <c r="AD88">
        <f>'Raw Data'!C81</f>
        <v>1</v>
      </c>
      <c r="AE88" t="str">
        <f>'Raw Data'!D81</f>
        <v>Blue</v>
      </c>
      <c r="AF88">
        <f>'Raw Data'!E81</f>
        <v>0</v>
      </c>
      <c r="AG88">
        <f>'Raw Data'!F81</f>
        <v>0</v>
      </c>
      <c r="AH88">
        <f>'Raw Data'!G81</f>
        <v>0</v>
      </c>
      <c r="AI88">
        <f>'Raw Data'!H81</f>
        <v>0</v>
      </c>
      <c r="AJ88">
        <f>'Raw Data'!I81</f>
        <v>0</v>
      </c>
      <c r="AK88">
        <f>'Raw Data'!J81</f>
        <v>0</v>
      </c>
      <c r="AL88">
        <f>'Raw Data'!K81</f>
        <v>1</v>
      </c>
      <c r="AM88">
        <f>'Raw Data'!L81</f>
        <v>0</v>
      </c>
      <c r="AN88">
        <f>'Raw Data'!M81</f>
        <v>1</v>
      </c>
      <c r="AO88">
        <f>'Raw Data'!N81</f>
        <v>0</v>
      </c>
      <c r="AP88">
        <f>'Raw Data'!O81</f>
        <v>0</v>
      </c>
      <c r="AQ88">
        <f>'Raw Data'!P81</f>
        <v>0</v>
      </c>
      <c r="AR88">
        <f>'Raw Data'!Q81</f>
        <v>0</v>
      </c>
      <c r="AS88">
        <f>'Raw Data'!R81</f>
        <v>0</v>
      </c>
      <c r="AT88">
        <f>'Raw Data'!S81</f>
        <v>1</v>
      </c>
    </row>
    <row r="89" spans="28:46" ht="15">
      <c r="AB89">
        <f>'Raw Data'!A82</f>
        <v>14</v>
      </c>
      <c r="AC89">
        <f>'Raw Data'!B82</f>
        <v>1279</v>
      </c>
      <c r="AD89">
        <f>'Raw Data'!C82</f>
        <v>1</v>
      </c>
      <c r="AE89" t="str">
        <f>'Raw Data'!D82</f>
        <v>Red</v>
      </c>
      <c r="AF89">
        <f>'Raw Data'!E82</f>
        <v>0</v>
      </c>
      <c r="AG89">
        <f>'Raw Data'!F82</f>
        <v>0</v>
      </c>
      <c r="AH89">
        <f>'Raw Data'!G82</f>
        <v>0</v>
      </c>
      <c r="AI89">
        <f>'Raw Data'!H82</f>
        <v>3</v>
      </c>
      <c r="AJ89">
        <f>'Raw Data'!I82</f>
        <v>2</v>
      </c>
      <c r="AK89">
        <f>'Raw Data'!J82</f>
        <v>1</v>
      </c>
      <c r="AL89">
        <f>'Raw Data'!K82</f>
        <v>2</v>
      </c>
      <c r="AM89">
        <f>'Raw Data'!L82</f>
        <v>0</v>
      </c>
      <c r="AN89">
        <f>'Raw Data'!M82</f>
        <v>2</v>
      </c>
      <c r="AO89">
        <f>'Raw Data'!N82</f>
        <v>0</v>
      </c>
      <c r="AP89">
        <f>'Raw Data'!O82</f>
        <v>0</v>
      </c>
      <c r="AQ89">
        <f>'Raw Data'!P82</f>
        <v>0</v>
      </c>
      <c r="AR89">
        <f>'Raw Data'!Q82</f>
        <v>0</v>
      </c>
      <c r="AS89">
        <f>'Raw Data'!R82</f>
        <v>1</v>
      </c>
      <c r="AT89">
        <f>'Raw Data'!S82</f>
        <v>4</v>
      </c>
    </row>
    <row r="90" spans="28:46" ht="15">
      <c r="AB90">
        <f>'Raw Data'!A83</f>
        <v>14</v>
      </c>
      <c r="AC90">
        <f>'Raw Data'!B83</f>
        <v>2614</v>
      </c>
      <c r="AD90">
        <f>'Raw Data'!C83</f>
        <v>1</v>
      </c>
      <c r="AE90" t="str">
        <f>'Raw Data'!D83</f>
        <v>Red</v>
      </c>
      <c r="AF90">
        <f>'Raw Data'!E83</f>
        <v>0</v>
      </c>
      <c r="AG90">
        <f>'Raw Data'!F83</f>
        <v>0</v>
      </c>
      <c r="AH90">
        <f>'Raw Data'!G83</f>
        <v>0</v>
      </c>
      <c r="AI90">
        <f>'Raw Data'!H83</f>
        <v>2</v>
      </c>
      <c r="AJ90">
        <f>'Raw Data'!I83</f>
        <v>0</v>
      </c>
      <c r="AK90">
        <f>'Raw Data'!J83</f>
        <v>2</v>
      </c>
      <c r="AL90">
        <f>'Raw Data'!K83</f>
        <v>0</v>
      </c>
      <c r="AM90">
        <f>'Raw Data'!L83</f>
        <v>1</v>
      </c>
      <c r="AN90">
        <f>'Raw Data'!M83</f>
        <v>2</v>
      </c>
      <c r="AO90">
        <f>'Raw Data'!N83</f>
        <v>0</v>
      </c>
      <c r="AP90">
        <f>'Raw Data'!O83</f>
        <v>0</v>
      </c>
      <c r="AQ90">
        <f>'Raw Data'!P83</f>
        <v>0</v>
      </c>
      <c r="AR90">
        <f>'Raw Data'!Q83</f>
        <v>0</v>
      </c>
      <c r="AS90">
        <f>'Raw Data'!R83</f>
        <v>3</v>
      </c>
      <c r="AT90">
        <f>'Raw Data'!S83</f>
        <v>2</v>
      </c>
    </row>
    <row r="91" spans="28:46" ht="15">
      <c r="AB91">
        <f>'Raw Data'!A84</f>
        <v>14</v>
      </c>
      <c r="AC91">
        <f>'Raw Data'!B84</f>
        <v>433</v>
      </c>
      <c r="AD91">
        <f>'Raw Data'!C84</f>
        <v>1</v>
      </c>
      <c r="AE91" t="str">
        <f>'Raw Data'!D84</f>
        <v>Red</v>
      </c>
      <c r="AF91">
        <f>'Raw Data'!E84</f>
        <v>0</v>
      </c>
      <c r="AG91">
        <f>'Raw Data'!F84</f>
        <v>0</v>
      </c>
      <c r="AH91">
        <f>'Raw Data'!G84</f>
        <v>0</v>
      </c>
      <c r="AI91">
        <f>'Raw Data'!H84</f>
        <v>1</v>
      </c>
      <c r="AJ91">
        <f>'Raw Data'!I84</f>
        <v>0</v>
      </c>
      <c r="AK91">
        <f>'Raw Data'!J84</f>
        <v>1</v>
      </c>
      <c r="AL91">
        <f>'Raw Data'!K84</f>
        <v>0</v>
      </c>
      <c r="AM91">
        <f>'Raw Data'!L84</f>
        <v>0</v>
      </c>
      <c r="AN91">
        <f>'Raw Data'!M84</f>
        <v>0</v>
      </c>
      <c r="AO91">
        <f>'Raw Data'!N84</f>
        <v>0</v>
      </c>
      <c r="AP91">
        <f>'Raw Data'!O84</f>
        <v>0</v>
      </c>
      <c r="AQ91">
        <f>'Raw Data'!P84</f>
        <v>0</v>
      </c>
      <c r="AR91">
        <f>'Raw Data'!Q84</f>
        <v>0</v>
      </c>
      <c r="AS91">
        <f>'Raw Data'!R84</f>
        <v>1</v>
      </c>
      <c r="AT91">
        <f>'Raw Data'!S84</f>
        <v>0</v>
      </c>
    </row>
    <row r="92" spans="28:46" ht="15">
      <c r="AB92">
        <f>'Raw Data'!A85</f>
        <v>14</v>
      </c>
      <c r="AC92">
        <f>'Raw Data'!B85</f>
        <v>3138</v>
      </c>
      <c r="AD92">
        <f>'Raw Data'!C85</f>
        <v>1</v>
      </c>
      <c r="AE92" t="str">
        <f>'Raw Data'!D85</f>
        <v>Blue</v>
      </c>
      <c r="AF92">
        <f>'Raw Data'!E85</f>
        <v>0</v>
      </c>
      <c r="AG92">
        <f>'Raw Data'!F85</f>
        <v>0</v>
      </c>
      <c r="AH92">
        <f>'Raw Data'!G85</f>
        <v>0</v>
      </c>
      <c r="AI92">
        <f>'Raw Data'!H85</f>
        <v>1</v>
      </c>
      <c r="AJ92">
        <f>'Raw Data'!I85</f>
        <v>1</v>
      </c>
      <c r="AK92">
        <f>'Raw Data'!J85</f>
        <v>0</v>
      </c>
      <c r="AL92">
        <f>'Raw Data'!K85</f>
        <v>1</v>
      </c>
      <c r="AM92">
        <f>'Raw Data'!L85</f>
        <v>0</v>
      </c>
      <c r="AN92">
        <f>'Raw Data'!M85</f>
        <v>7</v>
      </c>
      <c r="AO92">
        <f>'Raw Data'!N85</f>
        <v>0</v>
      </c>
      <c r="AP92">
        <f>'Raw Data'!O85</f>
        <v>0</v>
      </c>
      <c r="AQ92">
        <f>'Raw Data'!P85</f>
        <v>0</v>
      </c>
      <c r="AR92">
        <f>'Raw Data'!Q85</f>
        <v>1</v>
      </c>
      <c r="AS92">
        <f>'Raw Data'!R85</f>
        <v>-1</v>
      </c>
      <c r="AT92">
        <f>'Raw Data'!S85</f>
        <v>8</v>
      </c>
    </row>
    <row r="93" spans="28:46" ht="15">
      <c r="AB93">
        <f>'Raw Data'!A86</f>
        <v>14</v>
      </c>
      <c r="AC93">
        <f>'Raw Data'!B86</f>
        <v>2618</v>
      </c>
      <c r="AD93">
        <f>'Raw Data'!C86</f>
        <v>1</v>
      </c>
      <c r="AE93" t="str">
        <f>'Raw Data'!D86</f>
        <v>Blue</v>
      </c>
      <c r="AF93">
        <f>'Raw Data'!E86</f>
        <v>0</v>
      </c>
      <c r="AG93">
        <f>'Raw Data'!F86</f>
        <v>0</v>
      </c>
      <c r="AH93">
        <f>'Raw Data'!G86</f>
        <v>0</v>
      </c>
      <c r="AI93">
        <f>'Raw Data'!H86</f>
        <v>0</v>
      </c>
      <c r="AJ93">
        <f>'Raw Data'!I86</f>
        <v>0</v>
      </c>
      <c r="AK93">
        <f>'Raw Data'!J86</f>
        <v>0</v>
      </c>
      <c r="AL93">
        <f>'Raw Data'!K86</f>
        <v>0</v>
      </c>
      <c r="AM93">
        <f>'Raw Data'!L86</f>
        <v>0</v>
      </c>
      <c r="AN93">
        <f>'Raw Data'!M86</f>
        <v>0</v>
      </c>
      <c r="AO93">
        <f>'Raw Data'!N86</f>
        <v>0</v>
      </c>
      <c r="AP93">
        <f>'Raw Data'!O86</f>
        <v>0</v>
      </c>
      <c r="AQ93">
        <f>'Raw Data'!P86</f>
        <v>0</v>
      </c>
      <c r="AR93">
        <f>'Raw Data'!Q86</f>
        <v>0</v>
      </c>
      <c r="AS93">
        <f>'Raw Data'!R86</f>
        <v>0</v>
      </c>
      <c r="AT93">
        <f>'Raw Data'!S86</f>
        <v>0</v>
      </c>
    </row>
    <row r="94" spans="28:46" ht="15">
      <c r="AB94">
        <f>'Raw Data'!A87</f>
        <v>14</v>
      </c>
      <c r="AC94">
        <f>'Raw Data'!B87</f>
        <v>63</v>
      </c>
      <c r="AD94">
        <f>'Raw Data'!C87</f>
        <v>1</v>
      </c>
      <c r="AE94" t="str">
        <f>'Raw Data'!D87</f>
        <v>Blue</v>
      </c>
      <c r="AF94">
        <f>'Raw Data'!E87</f>
        <v>0</v>
      </c>
      <c r="AG94">
        <f>'Raw Data'!F87</f>
        <v>0</v>
      </c>
      <c r="AH94">
        <f>'Raw Data'!G87</f>
        <v>0</v>
      </c>
      <c r="AI94">
        <f>'Raw Data'!H87</f>
        <v>1</v>
      </c>
      <c r="AJ94">
        <f>'Raw Data'!I87</f>
        <v>0</v>
      </c>
      <c r="AK94">
        <f>'Raw Data'!J87</f>
        <v>0</v>
      </c>
      <c r="AL94">
        <f>'Raw Data'!K87</f>
        <v>1</v>
      </c>
      <c r="AM94">
        <f>'Raw Data'!L87</f>
        <v>4</v>
      </c>
      <c r="AN94">
        <f>'Raw Data'!M87</f>
        <v>1</v>
      </c>
      <c r="AO94">
        <f>'Raw Data'!N87</f>
        <v>0</v>
      </c>
      <c r="AP94">
        <f>'Raw Data'!O87</f>
        <v>0</v>
      </c>
      <c r="AQ94">
        <f>'Raw Data'!P87</f>
        <v>0</v>
      </c>
      <c r="AR94">
        <f>'Raw Data'!Q87</f>
        <v>0</v>
      </c>
      <c r="AS94">
        <f>'Raw Data'!R87</f>
        <v>4</v>
      </c>
      <c r="AT94">
        <f>'Raw Data'!S87</f>
        <v>1</v>
      </c>
    </row>
    <row r="95" spans="28:46" ht="15">
      <c r="AB95">
        <f>'Raw Data'!A88</f>
        <v>15</v>
      </c>
      <c r="AC95">
        <f>'Raw Data'!B88</f>
        <v>306</v>
      </c>
      <c r="AD95">
        <f>'Raw Data'!C88</f>
        <v>1</v>
      </c>
      <c r="AE95" t="str">
        <f>'Raw Data'!D88</f>
        <v>Red</v>
      </c>
      <c r="AF95">
        <f>'Raw Data'!E88</f>
        <v>0</v>
      </c>
      <c r="AG95">
        <f>'Raw Data'!F88</f>
        <v>0</v>
      </c>
      <c r="AH95">
        <f>'Raw Data'!G88</f>
        <v>0</v>
      </c>
      <c r="AI95">
        <f>'Raw Data'!H88</f>
        <v>0</v>
      </c>
      <c r="AJ95">
        <f>'Raw Data'!I88</f>
        <v>0</v>
      </c>
      <c r="AK95">
        <f>'Raw Data'!J88</f>
        <v>0</v>
      </c>
      <c r="AL95">
        <f>'Raw Data'!K88</f>
        <v>0</v>
      </c>
      <c r="AM95">
        <f>'Raw Data'!L88</f>
        <v>0</v>
      </c>
      <c r="AN95">
        <f>'Raw Data'!M88</f>
        <v>0</v>
      </c>
      <c r="AO95">
        <f>'Raw Data'!N88</f>
        <v>0</v>
      </c>
      <c r="AP95">
        <f>'Raw Data'!O88</f>
        <v>0</v>
      </c>
      <c r="AQ95">
        <f>'Raw Data'!P88</f>
        <v>0</v>
      </c>
      <c r="AR95">
        <f>'Raw Data'!Q88</f>
        <v>0</v>
      </c>
      <c r="AS95">
        <f>'Raw Data'!R88</f>
        <v>0</v>
      </c>
      <c r="AT95">
        <f>'Raw Data'!S88</f>
        <v>0</v>
      </c>
    </row>
    <row r="96" spans="28:46" ht="15">
      <c r="AB96">
        <f>'Raw Data'!A89</f>
        <v>15</v>
      </c>
      <c r="AC96">
        <f>'Raw Data'!B89</f>
        <v>3260</v>
      </c>
      <c r="AD96">
        <f>'Raw Data'!C89</f>
        <v>1</v>
      </c>
      <c r="AE96" t="str">
        <f>'Raw Data'!D89</f>
        <v>Red</v>
      </c>
      <c r="AF96">
        <f>'Raw Data'!E89</f>
        <v>0</v>
      </c>
      <c r="AG96">
        <f>'Raw Data'!F89</f>
        <v>0</v>
      </c>
      <c r="AH96">
        <f>'Raw Data'!G89</f>
        <v>0</v>
      </c>
      <c r="AI96">
        <f>'Raw Data'!H89</f>
        <v>0</v>
      </c>
      <c r="AJ96">
        <f>'Raw Data'!I89</f>
        <v>0</v>
      </c>
      <c r="AK96">
        <f>'Raw Data'!J89</f>
        <v>0</v>
      </c>
      <c r="AL96">
        <f>'Raw Data'!K89</f>
        <v>0</v>
      </c>
      <c r="AM96">
        <f>'Raw Data'!L89</f>
        <v>0</v>
      </c>
      <c r="AN96">
        <f>'Raw Data'!M89</f>
        <v>0</v>
      </c>
      <c r="AO96">
        <f>'Raw Data'!N89</f>
        <v>0</v>
      </c>
      <c r="AP96">
        <f>'Raw Data'!O89</f>
        <v>0</v>
      </c>
      <c r="AQ96">
        <f>'Raw Data'!P89</f>
        <v>0</v>
      </c>
      <c r="AR96">
        <f>'Raw Data'!Q89</f>
        <v>1</v>
      </c>
      <c r="AS96">
        <f>'Raw Data'!R89</f>
        <v>-1</v>
      </c>
      <c r="AT96">
        <f>'Raw Data'!S89</f>
        <v>0</v>
      </c>
    </row>
    <row r="97" spans="28:46" ht="15">
      <c r="AB97">
        <f>'Raw Data'!A90</f>
        <v>15</v>
      </c>
      <c r="AC97">
        <f>'Raw Data'!B90</f>
        <v>1249</v>
      </c>
      <c r="AD97">
        <f>'Raw Data'!C90</f>
        <v>1</v>
      </c>
      <c r="AE97" t="str">
        <f>'Raw Data'!D90</f>
        <v>Red</v>
      </c>
      <c r="AF97">
        <f>'Raw Data'!E90</f>
        <v>0</v>
      </c>
      <c r="AG97">
        <f>'Raw Data'!F90</f>
        <v>0</v>
      </c>
      <c r="AH97">
        <f>'Raw Data'!G90</f>
        <v>0</v>
      </c>
      <c r="AI97">
        <f>'Raw Data'!H90</f>
        <v>0</v>
      </c>
      <c r="AJ97">
        <f>'Raw Data'!I90</f>
        <v>0</v>
      </c>
      <c r="AK97">
        <f>'Raw Data'!J90</f>
        <v>0</v>
      </c>
      <c r="AL97">
        <f>'Raw Data'!K90</f>
        <v>2</v>
      </c>
      <c r="AM97">
        <f>'Raw Data'!L90</f>
        <v>1</v>
      </c>
      <c r="AN97">
        <f>'Raw Data'!M90</f>
        <v>0</v>
      </c>
      <c r="AO97">
        <f>'Raw Data'!N90</f>
        <v>0</v>
      </c>
      <c r="AP97">
        <f>'Raw Data'!O90</f>
        <v>0</v>
      </c>
      <c r="AQ97">
        <f>'Raw Data'!P90</f>
        <v>0</v>
      </c>
      <c r="AR97">
        <f>'Raw Data'!Q90</f>
        <v>0</v>
      </c>
      <c r="AS97">
        <f>'Raw Data'!R90</f>
        <v>1</v>
      </c>
      <c r="AT97">
        <f>'Raw Data'!S90</f>
        <v>0</v>
      </c>
    </row>
    <row r="98" spans="28:46" ht="15">
      <c r="AB98">
        <f>'Raw Data'!A91</f>
        <v>15</v>
      </c>
      <c r="AC98">
        <f>'Raw Data'!B91</f>
        <v>128</v>
      </c>
      <c r="AD98">
        <f>'Raw Data'!C91</f>
        <v>1</v>
      </c>
      <c r="AE98" t="str">
        <f>'Raw Data'!D91</f>
        <v>Blue</v>
      </c>
      <c r="AF98">
        <f>'Raw Data'!E91</f>
        <v>0</v>
      </c>
      <c r="AG98">
        <f>'Raw Data'!F91</f>
        <v>0</v>
      </c>
      <c r="AH98">
        <f>'Raw Data'!G91</f>
        <v>0</v>
      </c>
      <c r="AI98">
        <f>'Raw Data'!H91</f>
        <v>0</v>
      </c>
      <c r="AJ98">
        <f>'Raw Data'!I91</f>
        <v>0</v>
      </c>
      <c r="AK98">
        <f>'Raw Data'!J91</f>
        <v>0</v>
      </c>
      <c r="AL98">
        <f>'Raw Data'!K91</f>
        <v>1</v>
      </c>
      <c r="AM98">
        <f>'Raw Data'!L91</f>
        <v>0</v>
      </c>
      <c r="AN98">
        <f>'Raw Data'!M91</f>
        <v>0</v>
      </c>
      <c r="AO98">
        <f>'Raw Data'!N91</f>
        <v>0</v>
      </c>
      <c r="AP98">
        <f>'Raw Data'!O91</f>
        <v>0</v>
      </c>
      <c r="AQ98">
        <f>'Raw Data'!P91</f>
        <v>0</v>
      </c>
      <c r="AR98">
        <f>'Raw Data'!Q91</f>
        <v>1</v>
      </c>
      <c r="AS98">
        <f>'Raw Data'!R91</f>
        <v>-1</v>
      </c>
      <c r="AT98">
        <f>'Raw Data'!S91</f>
        <v>0</v>
      </c>
    </row>
    <row r="99" spans="28:46" ht="15">
      <c r="AB99">
        <f>'Raw Data'!A92</f>
        <v>15</v>
      </c>
      <c r="AC99">
        <f>'Raw Data'!B92</f>
        <v>2809</v>
      </c>
      <c r="AD99">
        <f>'Raw Data'!C92</f>
        <v>1</v>
      </c>
      <c r="AE99" t="str">
        <f>'Raw Data'!D92</f>
        <v>Blue</v>
      </c>
      <c r="AF99" t="str">
        <f>'Raw Data'!E92</f>
        <v>off</v>
      </c>
      <c r="AG99">
        <f>'Raw Data'!F92</f>
        <v>0</v>
      </c>
      <c r="AH99">
        <f>'Raw Data'!G92</f>
        <v>0</v>
      </c>
      <c r="AI99">
        <f>'Raw Data'!H92</f>
        <v>0</v>
      </c>
      <c r="AJ99">
        <f>'Raw Data'!I92</f>
        <v>0</v>
      </c>
      <c r="AK99">
        <f>'Raw Data'!J92</f>
        <v>0</v>
      </c>
      <c r="AL99">
        <f>'Raw Data'!K92</f>
        <v>7</v>
      </c>
      <c r="AM99">
        <f>'Raw Data'!L92</f>
        <v>6</v>
      </c>
      <c r="AN99">
        <f>'Raw Data'!M92</f>
        <v>0</v>
      </c>
      <c r="AO99">
        <f>'Raw Data'!N92</f>
        <v>0</v>
      </c>
      <c r="AP99">
        <f>'Raw Data'!O92</f>
        <v>0</v>
      </c>
      <c r="AQ99">
        <f>'Raw Data'!P92</f>
        <v>0</v>
      </c>
      <c r="AR99">
        <f>'Raw Data'!Q92</f>
        <v>0</v>
      </c>
      <c r="AS99">
        <f>'Raw Data'!R92</f>
        <v>6</v>
      </c>
      <c r="AT99">
        <f>'Raw Data'!S92</f>
        <v>0</v>
      </c>
    </row>
    <row r="100" spans="28:46" ht="15">
      <c r="AB100">
        <f>'Raw Data'!A93</f>
        <v>15</v>
      </c>
      <c r="AC100">
        <f>'Raw Data'!B93</f>
        <v>2051</v>
      </c>
      <c r="AD100">
        <f>'Raw Data'!C93</f>
        <v>1</v>
      </c>
      <c r="AE100" t="str">
        <f>'Raw Data'!D93</f>
        <v>Blue</v>
      </c>
      <c r="AF100">
        <f>'Raw Data'!E93</f>
        <v>0</v>
      </c>
      <c r="AG100">
        <f>'Raw Data'!F93</f>
        <v>0</v>
      </c>
      <c r="AH100">
        <f>'Raw Data'!G93</f>
        <v>0</v>
      </c>
      <c r="AI100">
        <f>'Raw Data'!H93</f>
        <v>0</v>
      </c>
      <c r="AJ100">
        <f>'Raw Data'!I93</f>
        <v>0</v>
      </c>
      <c r="AK100">
        <f>'Raw Data'!J93</f>
        <v>0</v>
      </c>
      <c r="AL100">
        <f>'Raw Data'!K93</f>
        <v>3</v>
      </c>
      <c r="AM100">
        <f>'Raw Data'!L93</f>
        <v>0</v>
      </c>
      <c r="AN100">
        <f>'Raw Data'!M93</f>
        <v>3</v>
      </c>
      <c r="AO100">
        <f>'Raw Data'!N93</f>
        <v>0</v>
      </c>
      <c r="AP100">
        <f>'Raw Data'!O93</f>
        <v>0</v>
      </c>
      <c r="AQ100">
        <f>'Raw Data'!P93</f>
        <v>0</v>
      </c>
      <c r="AR100">
        <f>'Raw Data'!Q93</f>
        <v>0</v>
      </c>
      <c r="AS100">
        <f>'Raw Data'!R93</f>
        <v>0</v>
      </c>
      <c r="AT100">
        <f>'Raw Data'!S93</f>
        <v>3</v>
      </c>
    </row>
    <row r="101" spans="28:46" ht="15">
      <c r="AB101">
        <f>'Raw Data'!A94</f>
        <v>16</v>
      </c>
      <c r="AC101">
        <f>'Raw Data'!B94</f>
        <v>2544</v>
      </c>
      <c r="AD101">
        <f>'Raw Data'!C94</f>
        <v>1</v>
      </c>
      <c r="AE101" t="str">
        <f>'Raw Data'!D94</f>
        <v>Red</v>
      </c>
      <c r="AF101">
        <f>'Raw Data'!E94</f>
        <v>0</v>
      </c>
      <c r="AG101">
        <f>'Raw Data'!F94</f>
        <v>0</v>
      </c>
      <c r="AH101">
        <f>'Raw Data'!G94</f>
        <v>0</v>
      </c>
      <c r="AI101">
        <f>'Raw Data'!H94</f>
        <v>0</v>
      </c>
      <c r="AJ101">
        <f>'Raw Data'!I94</f>
        <v>0</v>
      </c>
      <c r="AK101">
        <f>'Raw Data'!J94</f>
        <v>0</v>
      </c>
      <c r="AL101">
        <f>'Raw Data'!K94</f>
        <v>3</v>
      </c>
      <c r="AM101">
        <f>'Raw Data'!L94</f>
        <v>1</v>
      </c>
      <c r="AN101">
        <f>'Raw Data'!M94</f>
        <v>0</v>
      </c>
      <c r="AO101">
        <f>'Raw Data'!N94</f>
        <v>0</v>
      </c>
      <c r="AP101">
        <f>'Raw Data'!O94</f>
        <v>0</v>
      </c>
      <c r="AQ101">
        <f>'Raw Data'!P94</f>
        <v>0</v>
      </c>
      <c r="AR101">
        <f>'Raw Data'!Q94</f>
        <v>3</v>
      </c>
      <c r="AS101">
        <f>'Raw Data'!R94</f>
        <v>-2</v>
      </c>
      <c r="AT101">
        <f>'Raw Data'!S94</f>
        <v>0</v>
      </c>
    </row>
    <row r="102" spans="28:46" ht="15">
      <c r="AB102">
        <f>'Raw Data'!A95</f>
        <v>16</v>
      </c>
      <c r="AC102">
        <f>'Raw Data'!B95</f>
        <v>3138</v>
      </c>
      <c r="AD102">
        <f>'Raw Data'!C95</f>
        <v>1</v>
      </c>
      <c r="AE102" t="str">
        <f>'Raw Data'!D95</f>
        <v>Red</v>
      </c>
      <c r="AF102">
        <f>'Raw Data'!E95</f>
        <v>0</v>
      </c>
      <c r="AG102">
        <f>'Raw Data'!F95</f>
        <v>0</v>
      </c>
      <c r="AH102">
        <f>'Raw Data'!G95</f>
        <v>0</v>
      </c>
      <c r="AI102">
        <f>'Raw Data'!H95</f>
        <v>1</v>
      </c>
      <c r="AJ102">
        <f>'Raw Data'!I95</f>
        <v>0</v>
      </c>
      <c r="AK102">
        <f>'Raw Data'!J95</f>
        <v>1</v>
      </c>
      <c r="AL102">
        <f>'Raw Data'!K95</f>
        <v>0</v>
      </c>
      <c r="AM102">
        <f>'Raw Data'!L95</f>
        <v>2</v>
      </c>
      <c r="AN102">
        <f>'Raw Data'!M95</f>
        <v>4</v>
      </c>
      <c r="AO102">
        <f>'Raw Data'!N95</f>
        <v>0</v>
      </c>
      <c r="AP102">
        <f>'Raw Data'!O95</f>
        <v>0</v>
      </c>
      <c r="AQ102">
        <f>'Raw Data'!P95</f>
        <v>0</v>
      </c>
      <c r="AR102">
        <f>'Raw Data'!Q95</f>
        <v>1</v>
      </c>
      <c r="AS102">
        <f>'Raw Data'!R95</f>
        <v>2</v>
      </c>
      <c r="AT102">
        <f>'Raw Data'!S95</f>
        <v>4</v>
      </c>
    </row>
    <row r="103" spans="28:46" ht="15">
      <c r="AB103">
        <f>'Raw Data'!A96</f>
        <v>16</v>
      </c>
      <c r="AC103">
        <f>'Raw Data'!B96</f>
        <v>2641</v>
      </c>
      <c r="AD103">
        <f>'Raw Data'!C96</f>
        <v>1</v>
      </c>
      <c r="AE103" t="str">
        <f>'Raw Data'!D96</f>
        <v>Red</v>
      </c>
      <c r="AF103">
        <f>'Raw Data'!E96</f>
        <v>0</v>
      </c>
      <c r="AG103">
        <f>'Raw Data'!F96</f>
        <v>0</v>
      </c>
      <c r="AH103">
        <f>'Raw Data'!G96</f>
        <v>0</v>
      </c>
      <c r="AI103">
        <f>'Raw Data'!H96</f>
        <v>0</v>
      </c>
      <c r="AJ103">
        <f>'Raw Data'!I96</f>
        <v>0</v>
      </c>
      <c r="AK103">
        <f>'Raw Data'!J96</f>
        <v>0</v>
      </c>
      <c r="AL103">
        <f>'Raw Data'!K96</f>
        <v>0</v>
      </c>
      <c r="AM103">
        <f>'Raw Data'!L96</f>
        <v>0</v>
      </c>
      <c r="AN103">
        <f>'Raw Data'!M96</f>
        <v>0</v>
      </c>
      <c r="AO103">
        <f>'Raw Data'!N96</f>
        <v>0</v>
      </c>
      <c r="AP103">
        <f>'Raw Data'!O96</f>
        <v>0</v>
      </c>
      <c r="AQ103">
        <f>'Raw Data'!P96</f>
        <v>0</v>
      </c>
      <c r="AR103">
        <f>'Raw Data'!Q96</f>
        <v>1</v>
      </c>
      <c r="AS103">
        <f>'Raw Data'!R96</f>
        <v>-1</v>
      </c>
      <c r="AT103">
        <f>'Raw Data'!S96</f>
        <v>0</v>
      </c>
    </row>
    <row r="104" spans="28:46" ht="15">
      <c r="AB104">
        <f>'Raw Data'!A97</f>
        <v>16</v>
      </c>
      <c r="AC104">
        <f>'Raw Data'!B97</f>
        <v>2279</v>
      </c>
      <c r="AD104">
        <f>'Raw Data'!C97</f>
        <v>1</v>
      </c>
      <c r="AE104" t="str">
        <f>'Raw Data'!D97</f>
        <v>Blue</v>
      </c>
      <c r="AF104">
        <f>'Raw Data'!E97</f>
        <v>0</v>
      </c>
      <c r="AG104">
        <f>'Raw Data'!F97</f>
        <v>0</v>
      </c>
      <c r="AH104">
        <f>'Raw Data'!G97</f>
        <v>0</v>
      </c>
      <c r="AI104">
        <f>'Raw Data'!H97</f>
        <v>0</v>
      </c>
      <c r="AJ104">
        <f>'Raw Data'!I97</f>
        <v>0</v>
      </c>
      <c r="AK104">
        <f>'Raw Data'!J97</f>
        <v>0</v>
      </c>
      <c r="AL104">
        <f>'Raw Data'!K97</f>
        <v>0</v>
      </c>
      <c r="AM104">
        <f>'Raw Data'!L97</f>
        <v>0</v>
      </c>
      <c r="AN104">
        <f>'Raw Data'!M97</f>
        <v>0</v>
      </c>
      <c r="AO104">
        <f>'Raw Data'!N97</f>
        <v>0</v>
      </c>
      <c r="AP104">
        <f>'Raw Data'!O97</f>
        <v>0</v>
      </c>
      <c r="AQ104">
        <f>'Raw Data'!P97</f>
        <v>0</v>
      </c>
      <c r="AR104">
        <f>'Raw Data'!Q97</f>
        <v>0</v>
      </c>
      <c r="AS104">
        <f>'Raw Data'!R97</f>
        <v>0</v>
      </c>
      <c r="AT104">
        <f>'Raw Data'!S97</f>
        <v>0</v>
      </c>
    </row>
    <row r="105" spans="28:46" ht="15">
      <c r="AB105">
        <f>'Raw Data'!A98</f>
        <v>16</v>
      </c>
      <c r="AC105">
        <f>'Raw Data'!B98</f>
        <v>2656</v>
      </c>
      <c r="AD105">
        <f>'Raw Data'!C98</f>
        <v>1</v>
      </c>
      <c r="AE105" t="str">
        <f>'Raw Data'!D98</f>
        <v>Blue</v>
      </c>
      <c r="AF105">
        <f>'Raw Data'!E98</f>
        <v>0</v>
      </c>
      <c r="AG105">
        <f>'Raw Data'!F98</f>
        <v>0</v>
      </c>
      <c r="AH105">
        <f>'Raw Data'!G98</f>
        <v>0</v>
      </c>
      <c r="AI105">
        <f>'Raw Data'!H98</f>
        <v>0</v>
      </c>
      <c r="AJ105">
        <f>'Raw Data'!I98</f>
        <v>0</v>
      </c>
      <c r="AK105">
        <f>'Raw Data'!J98</f>
        <v>0</v>
      </c>
      <c r="AL105">
        <f>'Raw Data'!K98</f>
        <v>1</v>
      </c>
      <c r="AM105">
        <f>'Raw Data'!L98</f>
        <v>0</v>
      </c>
      <c r="AN105">
        <f>'Raw Data'!M98</f>
        <v>0</v>
      </c>
      <c r="AO105">
        <f>'Raw Data'!N98</f>
        <v>0</v>
      </c>
      <c r="AP105">
        <f>'Raw Data'!O98</f>
        <v>0</v>
      </c>
      <c r="AQ105">
        <f>'Raw Data'!P98</f>
        <v>0</v>
      </c>
      <c r="AR105">
        <f>'Raw Data'!Q98</f>
        <v>1</v>
      </c>
      <c r="AS105">
        <f>'Raw Data'!R98</f>
        <v>-1</v>
      </c>
      <c r="AT105">
        <f>'Raw Data'!S98</f>
        <v>0</v>
      </c>
    </row>
    <row r="106" spans="28:46" ht="15">
      <c r="AB106">
        <f>'Raw Data'!A99</f>
        <v>16</v>
      </c>
      <c r="AC106">
        <f>'Raw Data'!B99</f>
        <v>1990</v>
      </c>
      <c r="AD106">
        <f>'Raw Data'!C99</f>
        <v>1</v>
      </c>
      <c r="AE106" t="str">
        <f>'Raw Data'!D99</f>
        <v>Blue</v>
      </c>
      <c r="AF106">
        <f>'Raw Data'!E99</f>
        <v>0</v>
      </c>
      <c r="AG106">
        <f>'Raw Data'!F99</f>
        <v>0</v>
      </c>
      <c r="AH106">
        <f>'Raw Data'!G99</f>
        <v>0</v>
      </c>
      <c r="AI106">
        <f>'Raw Data'!H99</f>
        <v>1</v>
      </c>
      <c r="AJ106">
        <f>'Raw Data'!I99</f>
        <v>0</v>
      </c>
      <c r="AK106">
        <f>'Raw Data'!J99</f>
        <v>0</v>
      </c>
      <c r="AL106">
        <f>'Raw Data'!K99</f>
        <v>2</v>
      </c>
      <c r="AM106">
        <f>'Raw Data'!L99</f>
        <v>1</v>
      </c>
      <c r="AN106">
        <f>'Raw Data'!M99</f>
        <v>0</v>
      </c>
      <c r="AO106">
        <f>'Raw Data'!N99</f>
        <v>0</v>
      </c>
      <c r="AP106">
        <f>'Raw Data'!O99</f>
        <v>0</v>
      </c>
      <c r="AQ106">
        <f>'Raw Data'!P99</f>
        <v>0</v>
      </c>
      <c r="AR106">
        <f>'Raw Data'!Q99</f>
        <v>0</v>
      </c>
      <c r="AS106">
        <f>'Raw Data'!R99</f>
        <v>1</v>
      </c>
      <c r="AT106">
        <f>'Raw Data'!S99</f>
        <v>0</v>
      </c>
    </row>
    <row r="107" spans="28:46" ht="15">
      <c r="AB107">
        <f>'Raw Data'!A100</f>
        <v>17</v>
      </c>
      <c r="AC107">
        <f>'Raw Data'!B100</f>
        <v>3260</v>
      </c>
      <c r="AD107">
        <f>'Raw Data'!C100</f>
        <v>1</v>
      </c>
      <c r="AE107" t="str">
        <f>'Raw Data'!D100</f>
        <v>Red</v>
      </c>
      <c r="AF107">
        <f>'Raw Data'!E100</f>
        <v>0</v>
      </c>
      <c r="AG107">
        <f>'Raw Data'!F100</f>
        <v>0</v>
      </c>
      <c r="AH107">
        <f>'Raw Data'!G100</f>
        <v>0</v>
      </c>
      <c r="AI107">
        <f>'Raw Data'!H100</f>
        <v>0</v>
      </c>
      <c r="AJ107">
        <f>'Raw Data'!I100</f>
        <v>0</v>
      </c>
      <c r="AK107">
        <f>'Raw Data'!J100</f>
        <v>0</v>
      </c>
      <c r="AL107">
        <f>'Raw Data'!K100</f>
        <v>0</v>
      </c>
      <c r="AM107">
        <f>'Raw Data'!L100</f>
        <v>0</v>
      </c>
      <c r="AN107">
        <f>'Raw Data'!M100</f>
        <v>0</v>
      </c>
      <c r="AO107">
        <f>'Raw Data'!N100</f>
        <v>0</v>
      </c>
      <c r="AP107">
        <f>'Raw Data'!O100</f>
        <v>0</v>
      </c>
      <c r="AQ107">
        <f>'Raw Data'!P100</f>
        <v>0</v>
      </c>
      <c r="AR107">
        <f>'Raw Data'!Q100</f>
        <v>0</v>
      </c>
      <c r="AS107">
        <f>'Raw Data'!R100</f>
        <v>0</v>
      </c>
      <c r="AT107">
        <f>'Raw Data'!S100</f>
        <v>0</v>
      </c>
    </row>
    <row r="108" spans="28:46" ht="15">
      <c r="AB108">
        <f>'Raw Data'!A101</f>
        <v>17</v>
      </c>
      <c r="AC108">
        <f>'Raw Data'!B101</f>
        <v>1279</v>
      </c>
      <c r="AD108">
        <f>'Raw Data'!C101</f>
        <v>1</v>
      </c>
      <c r="AE108" t="str">
        <f>'Raw Data'!D101</f>
        <v>Red</v>
      </c>
      <c r="AF108">
        <f>'Raw Data'!E101</f>
        <v>0</v>
      </c>
      <c r="AG108">
        <f>'Raw Data'!F101</f>
        <v>0</v>
      </c>
      <c r="AH108">
        <f>'Raw Data'!G101</f>
        <v>0</v>
      </c>
      <c r="AI108">
        <f>'Raw Data'!H101</f>
        <v>3</v>
      </c>
      <c r="AJ108">
        <f>'Raw Data'!I101</f>
        <v>3</v>
      </c>
      <c r="AK108">
        <f>'Raw Data'!J101</f>
        <v>0</v>
      </c>
      <c r="AL108">
        <f>'Raw Data'!K101</f>
        <v>3</v>
      </c>
      <c r="AM108">
        <f>'Raw Data'!L101</f>
        <v>1</v>
      </c>
      <c r="AN108">
        <f>'Raw Data'!M101</f>
        <v>1</v>
      </c>
      <c r="AO108">
        <f>'Raw Data'!N101</f>
        <v>0</v>
      </c>
      <c r="AP108">
        <f>'Raw Data'!O101</f>
        <v>0</v>
      </c>
      <c r="AQ108">
        <f>'Raw Data'!P101</f>
        <v>0</v>
      </c>
      <c r="AR108">
        <f>'Raw Data'!Q101</f>
        <v>0</v>
      </c>
      <c r="AS108">
        <f>'Raw Data'!R101</f>
        <v>1</v>
      </c>
      <c r="AT108">
        <f>'Raw Data'!S101</f>
        <v>4</v>
      </c>
    </row>
    <row r="109" spans="28:46" ht="15">
      <c r="AB109">
        <f>'Raw Data'!A102</f>
        <v>17</v>
      </c>
      <c r="AC109">
        <f>'Raw Data'!B102</f>
        <v>2618</v>
      </c>
      <c r="AD109">
        <f>'Raw Data'!C102</f>
        <v>1</v>
      </c>
      <c r="AE109" t="str">
        <f>'Raw Data'!D102</f>
        <v>Red</v>
      </c>
      <c r="AF109">
        <f>'Raw Data'!E102</f>
        <v>0</v>
      </c>
      <c r="AG109">
        <f>'Raw Data'!F102</f>
        <v>0</v>
      </c>
      <c r="AH109">
        <f>'Raw Data'!G102</f>
        <v>0</v>
      </c>
      <c r="AI109">
        <f>'Raw Data'!H102</f>
        <v>0</v>
      </c>
      <c r="AJ109">
        <f>'Raw Data'!I102</f>
        <v>0</v>
      </c>
      <c r="AK109">
        <f>'Raw Data'!J102</f>
        <v>0</v>
      </c>
      <c r="AL109">
        <f>'Raw Data'!K102</f>
        <v>0</v>
      </c>
      <c r="AM109">
        <f>'Raw Data'!L102</f>
        <v>0</v>
      </c>
      <c r="AN109">
        <f>'Raw Data'!M102</f>
        <v>0</v>
      </c>
      <c r="AO109">
        <f>'Raw Data'!N102</f>
        <v>0</v>
      </c>
      <c r="AP109">
        <f>'Raw Data'!O102</f>
        <v>0</v>
      </c>
      <c r="AQ109">
        <f>'Raw Data'!P102</f>
        <v>0</v>
      </c>
      <c r="AR109">
        <f>'Raw Data'!Q102</f>
        <v>0</v>
      </c>
      <c r="AS109">
        <f>'Raw Data'!R102</f>
        <v>0</v>
      </c>
      <c r="AT109">
        <f>'Raw Data'!S102</f>
        <v>0</v>
      </c>
    </row>
    <row r="110" spans="28:46" ht="15">
      <c r="AB110">
        <f>'Raw Data'!A103</f>
        <v>17</v>
      </c>
      <c r="AC110">
        <f>'Raw Data'!B103</f>
        <v>2809</v>
      </c>
      <c r="AD110">
        <f>'Raw Data'!C103</f>
        <v>1</v>
      </c>
      <c r="AE110" t="str">
        <f>'Raw Data'!D103</f>
        <v>Blue</v>
      </c>
      <c r="AF110" t="str">
        <f>'Raw Data'!E103</f>
        <v>off</v>
      </c>
      <c r="AG110">
        <f>'Raw Data'!F103</f>
        <v>0</v>
      </c>
      <c r="AH110">
        <f>'Raw Data'!G103</f>
        <v>0</v>
      </c>
      <c r="AI110">
        <f>'Raw Data'!H103</f>
        <v>1</v>
      </c>
      <c r="AJ110">
        <f>'Raw Data'!I103</f>
        <v>0</v>
      </c>
      <c r="AK110">
        <f>'Raw Data'!J103</f>
        <v>0</v>
      </c>
      <c r="AL110">
        <f>'Raw Data'!K103</f>
        <v>2</v>
      </c>
      <c r="AM110">
        <f>'Raw Data'!L103</f>
        <v>3</v>
      </c>
      <c r="AN110">
        <f>'Raw Data'!M103</f>
        <v>2</v>
      </c>
      <c r="AO110">
        <f>'Raw Data'!N103</f>
        <v>0</v>
      </c>
      <c r="AP110">
        <f>'Raw Data'!O103</f>
        <v>0</v>
      </c>
      <c r="AQ110">
        <f>'Raw Data'!P103</f>
        <v>0</v>
      </c>
      <c r="AR110">
        <f>'Raw Data'!Q103</f>
        <v>0</v>
      </c>
      <c r="AS110">
        <f>'Raw Data'!R103</f>
        <v>3</v>
      </c>
      <c r="AT110">
        <f>'Raw Data'!S103</f>
        <v>2</v>
      </c>
    </row>
    <row r="111" spans="28:46" ht="15">
      <c r="AB111">
        <f>'Raw Data'!A104</f>
        <v>17</v>
      </c>
      <c r="AC111">
        <f>'Raw Data'!B104</f>
        <v>306</v>
      </c>
      <c r="AD111">
        <f>'Raw Data'!C104</f>
        <v>1</v>
      </c>
      <c r="AE111" t="str">
        <f>'Raw Data'!D104</f>
        <v>Blue</v>
      </c>
      <c r="AF111">
        <f>'Raw Data'!E104</f>
        <v>0</v>
      </c>
      <c r="AG111">
        <f>'Raw Data'!F104</f>
        <v>0</v>
      </c>
      <c r="AH111">
        <f>'Raw Data'!G104</f>
        <v>0</v>
      </c>
      <c r="AI111">
        <f>'Raw Data'!H104</f>
        <v>0</v>
      </c>
      <c r="AJ111">
        <f>'Raw Data'!I104</f>
        <v>0</v>
      </c>
      <c r="AK111">
        <f>'Raw Data'!J104</f>
        <v>0</v>
      </c>
      <c r="AL111">
        <f>'Raw Data'!K104</f>
        <v>0</v>
      </c>
      <c r="AM111">
        <f>'Raw Data'!L104</f>
        <v>0</v>
      </c>
      <c r="AN111">
        <f>'Raw Data'!M104</f>
        <v>1</v>
      </c>
      <c r="AO111">
        <f>'Raw Data'!N104</f>
        <v>0</v>
      </c>
      <c r="AP111">
        <f>'Raw Data'!O104</f>
        <v>0</v>
      </c>
      <c r="AQ111">
        <f>'Raw Data'!P104</f>
        <v>0</v>
      </c>
      <c r="AR111">
        <f>'Raw Data'!Q104</f>
        <v>0</v>
      </c>
      <c r="AS111">
        <f>'Raw Data'!R104</f>
        <v>0</v>
      </c>
      <c r="AT111">
        <f>'Raw Data'!S104</f>
        <v>1</v>
      </c>
    </row>
    <row r="112" spans="28:46" ht="15">
      <c r="AB112">
        <f>'Raw Data'!A105</f>
        <v>17</v>
      </c>
      <c r="AC112">
        <f>'Raw Data'!B105</f>
        <v>1708</v>
      </c>
      <c r="AD112">
        <f>'Raw Data'!C105</f>
        <v>1</v>
      </c>
      <c r="AE112" t="str">
        <f>'Raw Data'!D105</f>
        <v>Blue</v>
      </c>
      <c r="AF112">
        <f>'Raw Data'!E105</f>
        <v>0</v>
      </c>
      <c r="AG112">
        <f>'Raw Data'!F105</f>
        <v>0</v>
      </c>
      <c r="AH112">
        <f>'Raw Data'!G105</f>
        <v>0</v>
      </c>
      <c r="AI112">
        <f>'Raw Data'!H105</f>
        <v>0</v>
      </c>
      <c r="AJ112">
        <f>'Raw Data'!I105</f>
        <v>0</v>
      </c>
      <c r="AK112">
        <f>'Raw Data'!J105</f>
        <v>0</v>
      </c>
      <c r="AL112">
        <f>'Raw Data'!K105</f>
        <v>0</v>
      </c>
      <c r="AM112">
        <f>'Raw Data'!L105</f>
        <v>0</v>
      </c>
      <c r="AN112">
        <f>'Raw Data'!M105</f>
        <v>0</v>
      </c>
      <c r="AO112">
        <f>'Raw Data'!N105</f>
        <v>0</v>
      </c>
      <c r="AP112">
        <f>'Raw Data'!O105</f>
        <v>0</v>
      </c>
      <c r="AQ112">
        <f>'Raw Data'!P105</f>
        <v>0</v>
      </c>
      <c r="AR112">
        <f>'Raw Data'!Q105</f>
        <v>0</v>
      </c>
      <c r="AS112">
        <f>'Raw Data'!R105</f>
        <v>0</v>
      </c>
      <c r="AT112">
        <f>'Raw Data'!S105</f>
        <v>0</v>
      </c>
    </row>
    <row r="113" spans="28:46" ht="15">
      <c r="AB113">
        <f>'Raw Data'!A106</f>
        <v>18</v>
      </c>
      <c r="AC113">
        <f>'Raw Data'!B106</f>
        <v>2544</v>
      </c>
      <c r="AD113">
        <f>'Raw Data'!C106</f>
        <v>1</v>
      </c>
      <c r="AE113" t="str">
        <f>'Raw Data'!D106</f>
        <v>Red</v>
      </c>
      <c r="AF113">
        <f>'Raw Data'!E106</f>
        <v>0</v>
      </c>
      <c r="AG113">
        <f>'Raw Data'!F106</f>
        <v>0</v>
      </c>
      <c r="AH113">
        <f>'Raw Data'!G106</f>
        <v>0</v>
      </c>
      <c r="AI113">
        <f>'Raw Data'!H106</f>
        <v>0</v>
      </c>
      <c r="AJ113">
        <f>'Raw Data'!I106</f>
        <v>0</v>
      </c>
      <c r="AK113">
        <f>'Raw Data'!J106</f>
        <v>0</v>
      </c>
      <c r="AL113">
        <f>'Raw Data'!K106</f>
        <v>1</v>
      </c>
      <c r="AM113">
        <f>'Raw Data'!L106</f>
        <v>1</v>
      </c>
      <c r="AN113">
        <f>'Raw Data'!M106</f>
        <v>0</v>
      </c>
      <c r="AO113">
        <f>'Raw Data'!N106</f>
        <v>0</v>
      </c>
      <c r="AP113">
        <f>'Raw Data'!O106</f>
        <v>0</v>
      </c>
      <c r="AQ113">
        <f>'Raw Data'!P106</f>
        <v>0</v>
      </c>
      <c r="AR113">
        <f>'Raw Data'!Q106</f>
        <v>0</v>
      </c>
      <c r="AS113">
        <f>'Raw Data'!R106</f>
        <v>1</v>
      </c>
      <c r="AT113">
        <f>'Raw Data'!S106</f>
        <v>0</v>
      </c>
    </row>
    <row r="114" spans="28:46" ht="15">
      <c r="AB114">
        <f>'Raw Data'!A107</f>
        <v>18</v>
      </c>
      <c r="AC114">
        <f>'Raw Data'!B107</f>
        <v>451</v>
      </c>
      <c r="AD114">
        <f>'Raw Data'!C107</f>
        <v>1</v>
      </c>
      <c r="AE114" t="str">
        <f>'Raw Data'!D107</f>
        <v>Red</v>
      </c>
      <c r="AF114">
        <f>'Raw Data'!E107</f>
        <v>0</v>
      </c>
      <c r="AG114">
        <f>'Raw Data'!F107</f>
        <v>0</v>
      </c>
      <c r="AH114">
        <f>'Raw Data'!G107</f>
        <v>0</v>
      </c>
      <c r="AI114">
        <f>'Raw Data'!H107</f>
        <v>0</v>
      </c>
      <c r="AJ114">
        <f>'Raw Data'!I107</f>
        <v>1</v>
      </c>
      <c r="AK114">
        <f>'Raw Data'!J107</f>
        <v>0</v>
      </c>
      <c r="AL114">
        <f>'Raw Data'!K107</f>
        <v>0</v>
      </c>
      <c r="AM114">
        <f>'Raw Data'!L107</f>
        <v>2</v>
      </c>
      <c r="AN114">
        <f>'Raw Data'!M107</f>
        <v>1</v>
      </c>
      <c r="AO114">
        <f>'Raw Data'!N107</f>
        <v>0</v>
      </c>
      <c r="AP114">
        <f>'Raw Data'!O107</f>
        <v>0</v>
      </c>
      <c r="AQ114">
        <f>'Raw Data'!P107</f>
        <v>0</v>
      </c>
      <c r="AR114">
        <f>'Raw Data'!Q107</f>
        <v>0</v>
      </c>
      <c r="AS114">
        <f>'Raw Data'!R107</f>
        <v>2</v>
      </c>
      <c r="AT114">
        <f>'Raw Data'!S107</f>
        <v>2</v>
      </c>
    </row>
    <row r="115" spans="28:46" ht="15">
      <c r="AB115">
        <f>'Raw Data'!A108</f>
        <v>18</v>
      </c>
      <c r="AC115">
        <f>'Raw Data'!B108</f>
        <v>433</v>
      </c>
      <c r="AD115">
        <f>'Raw Data'!C108</f>
        <v>1</v>
      </c>
      <c r="AE115" t="str">
        <f>'Raw Data'!D108</f>
        <v>Red</v>
      </c>
      <c r="AF115">
        <f>'Raw Data'!E108</f>
        <v>0</v>
      </c>
      <c r="AG115">
        <f>'Raw Data'!F108</f>
        <v>0</v>
      </c>
      <c r="AH115">
        <f>'Raw Data'!G108</f>
        <v>0</v>
      </c>
      <c r="AI115">
        <f>'Raw Data'!H108</f>
        <v>0</v>
      </c>
      <c r="AJ115">
        <f>'Raw Data'!I108</f>
        <v>0</v>
      </c>
      <c r="AK115">
        <f>'Raw Data'!J108</f>
        <v>0</v>
      </c>
      <c r="AL115">
        <f>'Raw Data'!K108</f>
        <v>1</v>
      </c>
      <c r="AM115">
        <f>'Raw Data'!L108</f>
        <v>0</v>
      </c>
      <c r="AN115">
        <f>'Raw Data'!M108</f>
        <v>1</v>
      </c>
      <c r="AO115">
        <f>'Raw Data'!N108</f>
        <v>0</v>
      </c>
      <c r="AP115">
        <f>'Raw Data'!O108</f>
        <v>0</v>
      </c>
      <c r="AQ115">
        <f>'Raw Data'!P108</f>
        <v>0</v>
      </c>
      <c r="AR115">
        <f>'Raw Data'!Q108</f>
        <v>0</v>
      </c>
      <c r="AS115">
        <f>'Raw Data'!R108</f>
        <v>0</v>
      </c>
      <c r="AT115">
        <f>'Raw Data'!S108</f>
        <v>1</v>
      </c>
    </row>
    <row r="116" spans="28:46" ht="15">
      <c r="AB116">
        <f>'Raw Data'!A109</f>
        <v>18</v>
      </c>
      <c r="AC116">
        <f>'Raw Data'!B109</f>
        <v>2603</v>
      </c>
      <c r="AD116">
        <f>'Raw Data'!C109</f>
        <v>1</v>
      </c>
      <c r="AE116" t="str">
        <f>'Raw Data'!D109</f>
        <v>Blue</v>
      </c>
      <c r="AF116">
        <f>'Raw Data'!E109</f>
        <v>0</v>
      </c>
      <c r="AG116">
        <f>'Raw Data'!F109</f>
        <v>0</v>
      </c>
      <c r="AH116">
        <f>'Raw Data'!G109</f>
        <v>0</v>
      </c>
      <c r="AI116">
        <f>'Raw Data'!H109</f>
        <v>0</v>
      </c>
      <c r="AJ116">
        <f>'Raw Data'!I109</f>
        <v>0</v>
      </c>
      <c r="AK116">
        <f>'Raw Data'!J109</f>
        <v>0</v>
      </c>
      <c r="AL116">
        <f>'Raw Data'!K109</f>
        <v>0</v>
      </c>
      <c r="AM116">
        <f>'Raw Data'!L109</f>
        <v>0</v>
      </c>
      <c r="AN116">
        <f>'Raw Data'!M109</f>
        <v>2</v>
      </c>
      <c r="AO116">
        <f>'Raw Data'!N109</f>
        <v>0</v>
      </c>
      <c r="AP116">
        <f>'Raw Data'!O109</f>
        <v>0</v>
      </c>
      <c r="AQ116">
        <f>'Raw Data'!P109</f>
        <v>0</v>
      </c>
      <c r="AR116">
        <f>'Raw Data'!Q109</f>
        <v>2</v>
      </c>
      <c r="AS116">
        <f>'Raw Data'!R109</f>
        <v>-2</v>
      </c>
      <c r="AT116">
        <f>'Raw Data'!S109</f>
        <v>2</v>
      </c>
    </row>
    <row r="117" spans="28:46" ht="15">
      <c r="AB117">
        <f>'Raw Data'!A110</f>
        <v>18</v>
      </c>
      <c r="AC117">
        <f>'Raw Data'!B110</f>
        <v>1317</v>
      </c>
      <c r="AD117">
        <f>'Raw Data'!C110</f>
        <v>1</v>
      </c>
      <c r="AE117" t="str">
        <f>'Raw Data'!D110</f>
        <v>Blue</v>
      </c>
      <c r="AF117">
        <f>'Raw Data'!E110</f>
        <v>0</v>
      </c>
      <c r="AG117">
        <f>'Raw Data'!F110</f>
        <v>0</v>
      </c>
      <c r="AH117">
        <f>'Raw Data'!G110</f>
        <v>0</v>
      </c>
      <c r="AI117">
        <f>'Raw Data'!H110</f>
        <v>0</v>
      </c>
      <c r="AJ117">
        <f>'Raw Data'!I110</f>
        <v>0</v>
      </c>
      <c r="AK117">
        <f>'Raw Data'!J110</f>
        <v>0</v>
      </c>
      <c r="AL117">
        <f>'Raw Data'!K110</f>
        <v>0</v>
      </c>
      <c r="AM117">
        <f>'Raw Data'!L110</f>
        <v>1</v>
      </c>
      <c r="AN117">
        <f>'Raw Data'!M110</f>
        <v>0</v>
      </c>
      <c r="AO117">
        <f>'Raw Data'!N110</f>
        <v>0</v>
      </c>
      <c r="AP117">
        <f>'Raw Data'!O110</f>
        <v>0</v>
      </c>
      <c r="AQ117">
        <f>'Raw Data'!P110</f>
        <v>0</v>
      </c>
      <c r="AR117">
        <f>'Raw Data'!Q110</f>
        <v>0</v>
      </c>
      <c r="AS117">
        <f>'Raw Data'!R110</f>
        <v>1</v>
      </c>
      <c r="AT117">
        <f>'Raw Data'!S110</f>
        <v>0</v>
      </c>
    </row>
    <row r="118" spans="28:46" ht="15">
      <c r="AB118">
        <f>'Raw Data'!A111</f>
        <v>18</v>
      </c>
      <c r="AC118">
        <f>'Raw Data'!B111</f>
        <v>1249</v>
      </c>
      <c r="AD118">
        <f>'Raw Data'!C111</f>
        <v>1</v>
      </c>
      <c r="AE118" t="str">
        <f>'Raw Data'!D111</f>
        <v>Blue</v>
      </c>
      <c r="AF118">
        <f>'Raw Data'!E111</f>
        <v>0</v>
      </c>
      <c r="AG118">
        <f>'Raw Data'!F111</f>
        <v>0</v>
      </c>
      <c r="AH118">
        <f>'Raw Data'!G111</f>
        <v>0</v>
      </c>
      <c r="AI118">
        <f>'Raw Data'!H111</f>
        <v>0</v>
      </c>
      <c r="AJ118">
        <f>'Raw Data'!I111</f>
        <v>0</v>
      </c>
      <c r="AK118">
        <f>'Raw Data'!J111</f>
        <v>0</v>
      </c>
      <c r="AL118">
        <f>'Raw Data'!K111</f>
        <v>1</v>
      </c>
      <c r="AM118">
        <f>'Raw Data'!L111</f>
        <v>0</v>
      </c>
      <c r="AN118">
        <f>'Raw Data'!M111</f>
        <v>0</v>
      </c>
      <c r="AO118">
        <f>'Raw Data'!N111</f>
        <v>0</v>
      </c>
      <c r="AP118">
        <f>'Raw Data'!O111</f>
        <v>0</v>
      </c>
      <c r="AQ118">
        <f>'Raw Data'!P111</f>
        <v>0</v>
      </c>
      <c r="AR118">
        <f>'Raw Data'!Q111</f>
        <v>0</v>
      </c>
      <c r="AS118">
        <f>'Raw Data'!R111</f>
        <v>0</v>
      </c>
      <c r="AT118">
        <f>'Raw Data'!S111</f>
        <v>0</v>
      </c>
    </row>
    <row r="119" spans="28:46" ht="15">
      <c r="AB119">
        <f>'Raw Data'!A112</f>
        <v>19</v>
      </c>
      <c r="AC119">
        <f>'Raw Data'!B112</f>
        <v>1038</v>
      </c>
      <c r="AD119">
        <f>'Raw Data'!C112</f>
        <v>1</v>
      </c>
      <c r="AE119" t="str">
        <f>'Raw Data'!D112</f>
        <v>Red</v>
      </c>
      <c r="AF119">
        <f>'Raw Data'!E112</f>
        <v>0</v>
      </c>
      <c r="AG119">
        <f>'Raw Data'!F112</f>
        <v>0</v>
      </c>
      <c r="AH119">
        <f>'Raw Data'!G112</f>
        <v>0</v>
      </c>
      <c r="AI119">
        <f>'Raw Data'!H112</f>
        <v>0</v>
      </c>
      <c r="AJ119">
        <f>'Raw Data'!I112</f>
        <v>0</v>
      </c>
      <c r="AK119">
        <f>'Raw Data'!J112</f>
        <v>0</v>
      </c>
      <c r="AL119">
        <f>'Raw Data'!K112</f>
        <v>2</v>
      </c>
      <c r="AM119">
        <f>'Raw Data'!L112</f>
        <v>3</v>
      </c>
      <c r="AN119">
        <f>'Raw Data'!M112</f>
        <v>3</v>
      </c>
      <c r="AO119">
        <f>'Raw Data'!N112</f>
        <v>0</v>
      </c>
      <c r="AP119">
        <f>'Raw Data'!O112</f>
        <v>0</v>
      </c>
      <c r="AQ119">
        <f>'Raw Data'!P112</f>
        <v>0</v>
      </c>
      <c r="AR119">
        <f>'Raw Data'!Q112</f>
        <v>0</v>
      </c>
      <c r="AS119">
        <f>'Raw Data'!R112</f>
        <v>3</v>
      </c>
      <c r="AT119">
        <f>'Raw Data'!S112</f>
        <v>3</v>
      </c>
    </row>
    <row r="120" spans="28:46" ht="15">
      <c r="AB120">
        <f>'Raw Data'!A113</f>
        <v>19</v>
      </c>
      <c r="AC120">
        <f>'Raw Data'!B113</f>
        <v>1743</v>
      </c>
      <c r="AD120">
        <f>'Raw Data'!C113</f>
        <v>1</v>
      </c>
      <c r="AE120" t="str">
        <f>'Raw Data'!D113</f>
        <v>Red</v>
      </c>
      <c r="AF120">
        <f>'Raw Data'!E113</f>
        <v>0</v>
      </c>
      <c r="AG120">
        <f>'Raw Data'!F113</f>
        <v>0</v>
      </c>
      <c r="AH120">
        <f>'Raw Data'!G113</f>
        <v>0</v>
      </c>
      <c r="AI120">
        <f>'Raw Data'!H113</f>
        <v>0</v>
      </c>
      <c r="AJ120">
        <f>'Raw Data'!I113</f>
        <v>0</v>
      </c>
      <c r="AK120">
        <f>'Raw Data'!J113</f>
        <v>0</v>
      </c>
      <c r="AL120">
        <f>'Raw Data'!K113</f>
        <v>0</v>
      </c>
      <c r="AM120">
        <f>'Raw Data'!L113</f>
        <v>0</v>
      </c>
      <c r="AN120">
        <f>'Raw Data'!M113</f>
        <v>2</v>
      </c>
      <c r="AO120">
        <f>'Raw Data'!N113</f>
        <v>0</v>
      </c>
      <c r="AP120">
        <f>'Raw Data'!O113</f>
        <v>0</v>
      </c>
      <c r="AQ120">
        <f>'Raw Data'!P113</f>
        <v>0</v>
      </c>
      <c r="AR120">
        <f>'Raw Data'!Q113</f>
        <v>0</v>
      </c>
      <c r="AS120">
        <f>'Raw Data'!R113</f>
        <v>0</v>
      </c>
      <c r="AT120">
        <f>'Raw Data'!S113</f>
        <v>2</v>
      </c>
    </row>
    <row r="121" spans="28:46" ht="15">
      <c r="AB121">
        <f>'Raw Data'!A114</f>
        <v>19</v>
      </c>
      <c r="AC121">
        <f>'Raw Data'!B114</f>
        <v>3062</v>
      </c>
      <c r="AD121">
        <f>'Raw Data'!C114</f>
        <v>1</v>
      </c>
      <c r="AE121" t="str">
        <f>'Raw Data'!D114</f>
        <v>Red</v>
      </c>
      <c r="AF121">
        <f>'Raw Data'!E114</f>
        <v>0</v>
      </c>
      <c r="AG121">
        <f>'Raw Data'!F114</f>
        <v>0</v>
      </c>
      <c r="AH121">
        <f>'Raw Data'!G114</f>
        <v>0</v>
      </c>
      <c r="AI121">
        <f>'Raw Data'!H114</f>
        <v>0</v>
      </c>
      <c r="AJ121">
        <f>'Raw Data'!I114</f>
        <v>0</v>
      </c>
      <c r="AK121">
        <f>'Raw Data'!J114</f>
        <v>0</v>
      </c>
      <c r="AL121">
        <f>'Raw Data'!K114</f>
        <v>2</v>
      </c>
      <c r="AM121">
        <f>'Raw Data'!L114</f>
        <v>1</v>
      </c>
      <c r="AN121">
        <f>'Raw Data'!M114</f>
        <v>0</v>
      </c>
      <c r="AO121">
        <f>'Raw Data'!N114</f>
        <v>0</v>
      </c>
      <c r="AP121">
        <f>'Raw Data'!O114</f>
        <v>0</v>
      </c>
      <c r="AQ121">
        <f>'Raw Data'!P114</f>
        <v>0</v>
      </c>
      <c r="AR121">
        <f>'Raw Data'!Q114</f>
        <v>3</v>
      </c>
      <c r="AS121">
        <f>'Raw Data'!R114</f>
        <v>-2</v>
      </c>
      <c r="AT121">
        <f>'Raw Data'!S114</f>
        <v>0</v>
      </c>
    </row>
    <row r="122" spans="28:46" ht="15">
      <c r="AB122">
        <f>'Raw Data'!A115</f>
        <v>19</v>
      </c>
      <c r="AC122">
        <f>'Raw Data'!B115</f>
        <v>3193</v>
      </c>
      <c r="AD122">
        <f>'Raw Data'!C115</f>
        <v>1</v>
      </c>
      <c r="AE122" t="str">
        <f>'Raw Data'!D115</f>
        <v>Blue</v>
      </c>
      <c r="AF122">
        <f>'Raw Data'!E115</f>
        <v>0</v>
      </c>
      <c r="AG122">
        <f>'Raw Data'!F115</f>
        <v>0</v>
      </c>
      <c r="AH122">
        <f>'Raw Data'!G115</f>
        <v>0</v>
      </c>
      <c r="AI122">
        <f>'Raw Data'!H115</f>
        <v>0</v>
      </c>
      <c r="AJ122">
        <f>'Raw Data'!I115</f>
        <v>0</v>
      </c>
      <c r="AK122">
        <f>'Raw Data'!J115</f>
        <v>0</v>
      </c>
      <c r="AL122">
        <f>'Raw Data'!K115</f>
        <v>1</v>
      </c>
      <c r="AM122">
        <f>'Raw Data'!L115</f>
        <v>0</v>
      </c>
      <c r="AN122">
        <f>'Raw Data'!M115</f>
        <v>0</v>
      </c>
      <c r="AO122">
        <f>'Raw Data'!N115</f>
        <v>0</v>
      </c>
      <c r="AP122">
        <f>'Raw Data'!O115</f>
        <v>0</v>
      </c>
      <c r="AQ122">
        <f>'Raw Data'!P115</f>
        <v>0</v>
      </c>
      <c r="AR122">
        <f>'Raw Data'!Q115</f>
        <v>0</v>
      </c>
      <c r="AS122">
        <f>'Raw Data'!R115</f>
        <v>0</v>
      </c>
      <c r="AT122">
        <f>'Raw Data'!S115</f>
        <v>0</v>
      </c>
    </row>
    <row r="123" spans="28:46" ht="15">
      <c r="AB123">
        <f>'Raw Data'!A116</f>
        <v>19</v>
      </c>
      <c r="AC123">
        <f>'Raw Data'!B116</f>
        <v>128</v>
      </c>
      <c r="AD123">
        <f>'Raw Data'!C116</f>
        <v>1</v>
      </c>
      <c r="AE123" t="str">
        <f>'Raw Data'!D116</f>
        <v>Blue</v>
      </c>
      <c r="AF123">
        <f>'Raw Data'!E116</f>
        <v>0</v>
      </c>
      <c r="AG123">
        <f>'Raw Data'!F116</f>
        <v>0</v>
      </c>
      <c r="AH123">
        <f>'Raw Data'!G116</f>
        <v>0</v>
      </c>
      <c r="AI123">
        <f>'Raw Data'!H116</f>
        <v>0</v>
      </c>
      <c r="AJ123">
        <f>'Raw Data'!I116</f>
        <v>0</v>
      </c>
      <c r="AK123">
        <f>'Raw Data'!J116</f>
        <v>0</v>
      </c>
      <c r="AL123">
        <f>'Raw Data'!K116</f>
        <v>0</v>
      </c>
      <c r="AM123">
        <f>'Raw Data'!L116</f>
        <v>0</v>
      </c>
      <c r="AN123">
        <f>'Raw Data'!M116</f>
        <v>0</v>
      </c>
      <c r="AO123">
        <f>'Raw Data'!N116</f>
        <v>0</v>
      </c>
      <c r="AP123">
        <f>'Raw Data'!O116</f>
        <v>0</v>
      </c>
      <c r="AQ123">
        <f>'Raw Data'!P116</f>
        <v>0</v>
      </c>
      <c r="AR123">
        <f>'Raw Data'!Q116</f>
        <v>0</v>
      </c>
      <c r="AS123">
        <f>'Raw Data'!R116</f>
        <v>0</v>
      </c>
      <c r="AT123">
        <f>'Raw Data'!S116</f>
        <v>0</v>
      </c>
    </row>
    <row r="124" spans="28:46" ht="15">
      <c r="AB124">
        <f>'Raw Data'!A117</f>
        <v>19</v>
      </c>
      <c r="AC124">
        <f>'Raw Data'!B117</f>
        <v>2656</v>
      </c>
      <c r="AD124">
        <f>'Raw Data'!C117</f>
        <v>1</v>
      </c>
      <c r="AE124" t="str">
        <f>'Raw Data'!D117</f>
        <v>Blue</v>
      </c>
      <c r="AF124">
        <f>'Raw Data'!E117</f>
        <v>0</v>
      </c>
      <c r="AG124">
        <f>'Raw Data'!F117</f>
        <v>0</v>
      </c>
      <c r="AH124">
        <f>'Raw Data'!G117</f>
        <v>0</v>
      </c>
      <c r="AI124">
        <f>'Raw Data'!H117</f>
        <v>0</v>
      </c>
      <c r="AJ124">
        <f>'Raw Data'!I117</f>
        <v>0</v>
      </c>
      <c r="AK124">
        <f>'Raw Data'!J117</f>
        <v>0</v>
      </c>
      <c r="AL124">
        <f>'Raw Data'!K117</f>
        <v>0</v>
      </c>
      <c r="AM124">
        <f>'Raw Data'!L117</f>
        <v>0</v>
      </c>
      <c r="AN124">
        <f>'Raw Data'!M117</f>
        <v>0</v>
      </c>
      <c r="AO124">
        <f>'Raw Data'!N117</f>
        <v>0</v>
      </c>
      <c r="AP124">
        <f>'Raw Data'!O117</f>
        <v>0</v>
      </c>
      <c r="AQ124">
        <f>'Raw Data'!P117</f>
        <v>0</v>
      </c>
      <c r="AR124">
        <f>'Raw Data'!Q117</f>
        <v>0</v>
      </c>
      <c r="AS124">
        <f>'Raw Data'!R117</f>
        <v>0</v>
      </c>
      <c r="AT124">
        <f>'Raw Data'!S117</f>
        <v>0</v>
      </c>
    </row>
    <row r="125" spans="28:46" ht="15">
      <c r="AB125">
        <f>'Raw Data'!A118</f>
        <v>20</v>
      </c>
      <c r="AC125">
        <f>'Raw Data'!B118</f>
        <v>2051</v>
      </c>
      <c r="AD125">
        <f>'Raw Data'!C118</f>
        <v>1</v>
      </c>
      <c r="AE125" t="str">
        <f>'Raw Data'!D118</f>
        <v>Red</v>
      </c>
      <c r="AF125">
        <f>'Raw Data'!E118</f>
        <v>0</v>
      </c>
      <c r="AG125">
        <f>'Raw Data'!F118</f>
        <v>0</v>
      </c>
      <c r="AH125">
        <f>'Raw Data'!G118</f>
        <v>0</v>
      </c>
      <c r="AI125">
        <f>'Raw Data'!H118</f>
        <v>0</v>
      </c>
      <c r="AJ125">
        <f>'Raw Data'!I118</f>
        <v>0</v>
      </c>
      <c r="AK125">
        <f>'Raw Data'!J118</f>
        <v>0</v>
      </c>
      <c r="AL125">
        <f>'Raw Data'!K118</f>
        <v>0</v>
      </c>
      <c r="AM125">
        <f>'Raw Data'!L118</f>
        <v>0</v>
      </c>
      <c r="AN125">
        <f>'Raw Data'!M118</f>
        <v>0</v>
      </c>
      <c r="AO125">
        <f>'Raw Data'!N118</f>
        <v>0</v>
      </c>
      <c r="AP125">
        <f>'Raw Data'!O118</f>
        <v>0</v>
      </c>
      <c r="AQ125">
        <f>'Raw Data'!P118</f>
        <v>0</v>
      </c>
      <c r="AR125">
        <f>'Raw Data'!Q118</f>
        <v>0</v>
      </c>
      <c r="AS125">
        <f>'Raw Data'!R118</f>
        <v>0</v>
      </c>
      <c r="AT125">
        <f>'Raw Data'!S118</f>
        <v>0</v>
      </c>
    </row>
    <row r="126" spans="28:46" ht="15">
      <c r="AB126">
        <f>'Raw Data'!A119</f>
        <v>20</v>
      </c>
      <c r="AC126">
        <f>'Raw Data'!B119</f>
        <v>222</v>
      </c>
      <c r="AD126">
        <f>'Raw Data'!C119</f>
        <v>1</v>
      </c>
      <c r="AE126" t="str">
        <f>'Raw Data'!D119</f>
        <v>Red</v>
      </c>
      <c r="AF126">
        <f>'Raw Data'!E119</f>
        <v>0</v>
      </c>
      <c r="AG126">
        <f>'Raw Data'!F119</f>
        <v>0</v>
      </c>
      <c r="AH126">
        <f>'Raw Data'!G119</f>
        <v>0</v>
      </c>
      <c r="AI126">
        <f>'Raw Data'!H119</f>
        <v>0</v>
      </c>
      <c r="AJ126">
        <f>'Raw Data'!I119</f>
        <v>0</v>
      </c>
      <c r="AK126">
        <f>'Raw Data'!J119</f>
        <v>0</v>
      </c>
      <c r="AL126">
        <f>'Raw Data'!K119</f>
        <v>0</v>
      </c>
      <c r="AM126">
        <f>'Raw Data'!L119</f>
        <v>0</v>
      </c>
      <c r="AN126">
        <f>'Raw Data'!M119</f>
        <v>0</v>
      </c>
      <c r="AO126">
        <f>'Raw Data'!N119</f>
        <v>0</v>
      </c>
      <c r="AP126">
        <f>'Raw Data'!O119</f>
        <v>0</v>
      </c>
      <c r="AQ126">
        <f>'Raw Data'!P119</f>
        <v>0</v>
      </c>
      <c r="AR126">
        <f>'Raw Data'!Q119</f>
        <v>0</v>
      </c>
      <c r="AS126">
        <f>'Raw Data'!R119</f>
        <v>0</v>
      </c>
      <c r="AT126">
        <f>'Raw Data'!S119</f>
        <v>0</v>
      </c>
    </row>
    <row r="127" spans="28:46" ht="15">
      <c r="AB127">
        <f>'Raw Data'!A120</f>
        <v>20</v>
      </c>
      <c r="AC127">
        <f>'Raw Data'!B120</f>
        <v>2279</v>
      </c>
      <c r="AD127">
        <f>'Raw Data'!C120</f>
        <v>1</v>
      </c>
      <c r="AE127" t="str">
        <f>'Raw Data'!D120</f>
        <v>Red</v>
      </c>
      <c r="AF127">
        <f>'Raw Data'!E120</f>
        <v>0</v>
      </c>
      <c r="AG127">
        <f>'Raw Data'!F120</f>
        <v>0</v>
      </c>
      <c r="AH127">
        <f>'Raw Data'!G120</f>
        <v>0</v>
      </c>
      <c r="AI127">
        <f>'Raw Data'!H120</f>
        <v>0</v>
      </c>
      <c r="AJ127">
        <f>'Raw Data'!I120</f>
        <v>0</v>
      </c>
      <c r="AK127">
        <f>'Raw Data'!J120</f>
        <v>0</v>
      </c>
      <c r="AL127">
        <f>'Raw Data'!K120</f>
        <v>0</v>
      </c>
      <c r="AM127">
        <f>'Raw Data'!L120</f>
        <v>0</v>
      </c>
      <c r="AN127">
        <f>'Raw Data'!M120</f>
        <v>0</v>
      </c>
      <c r="AO127">
        <f>'Raw Data'!N120</f>
        <v>0</v>
      </c>
      <c r="AP127">
        <f>'Raw Data'!O120</f>
        <v>0</v>
      </c>
      <c r="AQ127">
        <f>'Raw Data'!P120</f>
        <v>0</v>
      </c>
      <c r="AR127">
        <f>'Raw Data'!Q120</f>
        <v>0</v>
      </c>
      <c r="AS127">
        <f>'Raw Data'!R120</f>
        <v>0</v>
      </c>
      <c r="AT127">
        <f>'Raw Data'!S120</f>
        <v>0</v>
      </c>
    </row>
    <row r="128" spans="28:46" ht="15">
      <c r="AB128">
        <f>'Raw Data'!A121</f>
        <v>20</v>
      </c>
      <c r="AC128">
        <f>'Raw Data'!B121</f>
        <v>63</v>
      </c>
      <c r="AD128">
        <f>'Raw Data'!C121</f>
        <v>1</v>
      </c>
      <c r="AE128" t="str">
        <f>'Raw Data'!D121</f>
        <v>Blue</v>
      </c>
      <c r="AF128">
        <f>'Raw Data'!E121</f>
        <v>0</v>
      </c>
      <c r="AG128">
        <f>'Raw Data'!F121</f>
        <v>0</v>
      </c>
      <c r="AH128">
        <f>'Raw Data'!G121</f>
        <v>0</v>
      </c>
      <c r="AI128">
        <f>'Raw Data'!H121</f>
        <v>0</v>
      </c>
      <c r="AJ128">
        <f>'Raw Data'!I121</f>
        <v>0</v>
      </c>
      <c r="AK128">
        <f>'Raw Data'!J121</f>
        <v>0</v>
      </c>
      <c r="AL128">
        <f>'Raw Data'!K121</f>
        <v>2</v>
      </c>
      <c r="AM128">
        <f>'Raw Data'!L121</f>
        <v>1</v>
      </c>
      <c r="AN128">
        <f>'Raw Data'!M121</f>
        <v>3</v>
      </c>
      <c r="AO128">
        <f>'Raw Data'!N121</f>
        <v>0</v>
      </c>
      <c r="AP128">
        <f>'Raw Data'!O121</f>
        <v>0</v>
      </c>
      <c r="AQ128">
        <f>'Raw Data'!P121</f>
        <v>0</v>
      </c>
      <c r="AR128">
        <f>'Raw Data'!Q121</f>
        <v>0</v>
      </c>
      <c r="AS128">
        <f>'Raw Data'!R121</f>
        <v>1</v>
      </c>
      <c r="AT128">
        <f>'Raw Data'!S121</f>
        <v>3</v>
      </c>
    </row>
    <row r="129" spans="28:46" ht="15">
      <c r="AB129">
        <f>'Raw Data'!A122</f>
        <v>20</v>
      </c>
      <c r="AC129">
        <f>'Raw Data'!B122</f>
        <v>1503</v>
      </c>
      <c r="AD129">
        <f>'Raw Data'!C122</f>
        <v>1</v>
      </c>
      <c r="AE129" t="str">
        <f>'Raw Data'!D122</f>
        <v>Blue</v>
      </c>
      <c r="AF129">
        <f>'Raw Data'!E122</f>
        <v>0</v>
      </c>
      <c r="AG129">
        <f>'Raw Data'!F122</f>
        <v>0</v>
      </c>
      <c r="AH129">
        <f>'Raw Data'!G122</f>
        <v>0</v>
      </c>
      <c r="AI129">
        <f>'Raw Data'!H122</f>
        <v>0</v>
      </c>
      <c r="AJ129">
        <f>'Raw Data'!I122</f>
        <v>0</v>
      </c>
      <c r="AK129">
        <f>'Raw Data'!J122</f>
        <v>0</v>
      </c>
      <c r="AL129">
        <f>'Raw Data'!K122</f>
        <v>1</v>
      </c>
      <c r="AM129">
        <f>'Raw Data'!L122</f>
        <v>0</v>
      </c>
      <c r="AN129">
        <f>'Raw Data'!M122</f>
        <v>0</v>
      </c>
      <c r="AO129">
        <f>'Raw Data'!N122</f>
        <v>0</v>
      </c>
      <c r="AP129">
        <f>'Raw Data'!O122</f>
        <v>0</v>
      </c>
      <c r="AQ129">
        <f>'Raw Data'!P122</f>
        <v>0</v>
      </c>
      <c r="AR129">
        <f>'Raw Data'!Q122</f>
        <v>0</v>
      </c>
      <c r="AS129">
        <f>'Raw Data'!R122</f>
        <v>0</v>
      </c>
      <c r="AT129">
        <f>'Raw Data'!S122</f>
        <v>0</v>
      </c>
    </row>
    <row r="130" spans="28:46" ht="15">
      <c r="AB130">
        <f>'Raw Data'!A123</f>
        <v>20</v>
      </c>
      <c r="AC130">
        <f>'Raw Data'!B123</f>
        <v>2252</v>
      </c>
      <c r="AD130">
        <f>'Raw Data'!C123</f>
        <v>1</v>
      </c>
      <c r="AE130" t="str">
        <f>'Raw Data'!D123</f>
        <v>Blue</v>
      </c>
      <c r="AF130">
        <f>'Raw Data'!E123</f>
        <v>0</v>
      </c>
      <c r="AG130">
        <f>'Raw Data'!F123</f>
        <v>0</v>
      </c>
      <c r="AH130">
        <f>'Raw Data'!G123</f>
        <v>0</v>
      </c>
      <c r="AI130">
        <f>'Raw Data'!H123</f>
        <v>0</v>
      </c>
      <c r="AJ130">
        <f>'Raw Data'!I123</f>
        <v>0</v>
      </c>
      <c r="AK130">
        <f>'Raw Data'!J123</f>
        <v>0</v>
      </c>
      <c r="AL130">
        <f>'Raw Data'!K123</f>
        <v>4</v>
      </c>
      <c r="AM130">
        <f>'Raw Data'!L123</f>
        <v>4</v>
      </c>
      <c r="AN130">
        <f>'Raw Data'!M123</f>
        <v>0</v>
      </c>
      <c r="AO130">
        <f>'Raw Data'!N123</f>
        <v>0</v>
      </c>
      <c r="AP130">
        <f>'Raw Data'!O123</f>
        <v>0</v>
      </c>
      <c r="AQ130">
        <f>'Raw Data'!P123</f>
        <v>0</v>
      </c>
      <c r="AR130">
        <f>'Raw Data'!Q123</f>
        <v>0</v>
      </c>
      <c r="AS130">
        <f>'Raw Data'!R123</f>
        <v>4</v>
      </c>
      <c r="AT130">
        <f>'Raw Data'!S123</f>
        <v>0</v>
      </c>
    </row>
    <row r="131" spans="28:46" ht="15">
      <c r="AB131">
        <f>'Raw Data'!A124</f>
        <v>21</v>
      </c>
      <c r="AC131">
        <f>'Raw Data'!B124</f>
        <v>1114</v>
      </c>
      <c r="AD131">
        <f>'Raw Data'!C124</f>
        <v>1</v>
      </c>
      <c r="AE131" t="str">
        <f>'Raw Data'!D124</f>
        <v>Red</v>
      </c>
      <c r="AF131">
        <f>'Raw Data'!E124</f>
        <v>0</v>
      </c>
      <c r="AG131">
        <f>'Raw Data'!F124</f>
        <v>0</v>
      </c>
      <c r="AH131">
        <f>'Raw Data'!G124</f>
        <v>0</v>
      </c>
      <c r="AI131">
        <f>'Raw Data'!H124</f>
        <v>3</v>
      </c>
      <c r="AJ131">
        <f>'Raw Data'!I124</f>
        <v>2</v>
      </c>
      <c r="AK131">
        <f>'Raw Data'!J124</f>
        <v>1</v>
      </c>
      <c r="AL131">
        <f>'Raw Data'!K124</f>
        <v>1</v>
      </c>
      <c r="AM131">
        <f>'Raw Data'!L124</f>
        <v>6</v>
      </c>
      <c r="AN131">
        <f>'Raw Data'!M124</f>
        <v>0</v>
      </c>
      <c r="AO131">
        <f>'Raw Data'!N124</f>
        <v>0</v>
      </c>
      <c r="AP131">
        <f>'Raw Data'!O124</f>
        <v>0</v>
      </c>
      <c r="AQ131">
        <f>'Raw Data'!P124</f>
        <v>2</v>
      </c>
      <c r="AR131">
        <f>'Raw Data'!Q124</f>
        <v>1</v>
      </c>
      <c r="AS131">
        <f>'Raw Data'!R124</f>
        <v>8</v>
      </c>
      <c r="AT131">
        <f>'Raw Data'!S124</f>
        <v>2</v>
      </c>
    </row>
    <row r="132" spans="28:46" ht="15">
      <c r="AB132">
        <f>'Raw Data'!A125</f>
        <v>21</v>
      </c>
      <c r="AC132">
        <f>'Raw Data'!B125</f>
        <v>117</v>
      </c>
      <c r="AD132">
        <f>'Raw Data'!C125</f>
        <v>1</v>
      </c>
      <c r="AE132" t="str">
        <f>'Raw Data'!D125</f>
        <v>Red</v>
      </c>
      <c r="AF132">
        <f>'Raw Data'!E125</f>
        <v>0</v>
      </c>
      <c r="AG132">
        <f>'Raw Data'!F125</f>
        <v>0</v>
      </c>
      <c r="AH132">
        <f>'Raw Data'!G125</f>
        <v>0</v>
      </c>
      <c r="AI132">
        <f>'Raw Data'!H125</f>
        <v>0</v>
      </c>
      <c r="AJ132">
        <f>'Raw Data'!I125</f>
        <v>0</v>
      </c>
      <c r="AK132">
        <f>'Raw Data'!J125</f>
        <v>0</v>
      </c>
      <c r="AL132">
        <f>'Raw Data'!K125</f>
        <v>0</v>
      </c>
      <c r="AM132">
        <f>'Raw Data'!L125</f>
        <v>0</v>
      </c>
      <c r="AN132">
        <f>'Raw Data'!M125</f>
        <v>0</v>
      </c>
      <c r="AO132">
        <f>'Raw Data'!N125</f>
        <v>0</v>
      </c>
      <c r="AP132">
        <f>'Raw Data'!O125</f>
        <v>0</v>
      </c>
      <c r="AQ132">
        <f>'Raw Data'!P125</f>
        <v>0</v>
      </c>
      <c r="AR132">
        <f>'Raw Data'!Q125</f>
        <v>0</v>
      </c>
      <c r="AS132">
        <f>'Raw Data'!R125</f>
        <v>0</v>
      </c>
      <c r="AT132">
        <f>'Raw Data'!S125</f>
        <v>0</v>
      </c>
    </row>
    <row r="133" spans="28:46" ht="15">
      <c r="AB133">
        <f>'Raw Data'!A126</f>
        <v>21</v>
      </c>
      <c r="AC133">
        <f>'Raw Data'!B126</f>
        <v>1317</v>
      </c>
      <c r="AD133">
        <f>'Raw Data'!C126</f>
        <v>1</v>
      </c>
      <c r="AE133" t="str">
        <f>'Raw Data'!D126</f>
        <v>Red</v>
      </c>
      <c r="AF133">
        <f>'Raw Data'!E126</f>
        <v>0</v>
      </c>
      <c r="AG133">
        <f>'Raw Data'!F126</f>
        <v>0</v>
      </c>
      <c r="AH133">
        <f>'Raw Data'!G126</f>
        <v>0</v>
      </c>
      <c r="AI133">
        <f>'Raw Data'!H126</f>
        <v>0</v>
      </c>
      <c r="AJ133">
        <f>'Raw Data'!I126</f>
        <v>0</v>
      </c>
      <c r="AK133">
        <f>'Raw Data'!J126</f>
        <v>0</v>
      </c>
      <c r="AL133">
        <f>'Raw Data'!K126</f>
        <v>2</v>
      </c>
      <c r="AM133">
        <f>'Raw Data'!L126</f>
        <v>1</v>
      </c>
      <c r="AN133">
        <f>'Raw Data'!M126</f>
        <v>0</v>
      </c>
      <c r="AO133">
        <f>'Raw Data'!N126</f>
        <v>0</v>
      </c>
      <c r="AP133">
        <f>'Raw Data'!O126</f>
        <v>0</v>
      </c>
      <c r="AQ133">
        <f>'Raw Data'!P126</f>
        <v>0</v>
      </c>
      <c r="AR133">
        <f>'Raw Data'!Q126</f>
        <v>0</v>
      </c>
      <c r="AS133">
        <f>'Raw Data'!R126</f>
        <v>1</v>
      </c>
      <c r="AT133">
        <f>'Raw Data'!S126</f>
        <v>0</v>
      </c>
    </row>
    <row r="134" spans="28:46" ht="15">
      <c r="AB134">
        <f>'Raw Data'!A127</f>
        <v>21</v>
      </c>
      <c r="AC134">
        <f>'Raw Data'!B127</f>
        <v>337</v>
      </c>
      <c r="AD134">
        <f>'Raw Data'!C127</f>
        <v>1</v>
      </c>
      <c r="AE134" t="str">
        <f>'Raw Data'!D127</f>
        <v>Blue</v>
      </c>
      <c r="AF134">
        <f>'Raw Data'!E127</f>
        <v>0</v>
      </c>
      <c r="AG134">
        <f>'Raw Data'!F127</f>
        <v>0</v>
      </c>
      <c r="AH134">
        <f>'Raw Data'!G127</f>
        <v>0</v>
      </c>
      <c r="AI134">
        <f>'Raw Data'!H127</f>
        <v>0</v>
      </c>
      <c r="AJ134">
        <f>'Raw Data'!I127</f>
        <v>0</v>
      </c>
      <c r="AK134">
        <f>'Raw Data'!J127</f>
        <v>0</v>
      </c>
      <c r="AL134">
        <f>'Raw Data'!K127</f>
        <v>2</v>
      </c>
      <c r="AM134">
        <f>'Raw Data'!L127</f>
        <v>1</v>
      </c>
      <c r="AN134">
        <f>'Raw Data'!M127</f>
        <v>0</v>
      </c>
      <c r="AO134">
        <f>'Raw Data'!N127</f>
        <v>0</v>
      </c>
      <c r="AP134">
        <f>'Raw Data'!O127</f>
        <v>0</v>
      </c>
      <c r="AQ134">
        <f>'Raw Data'!P127</f>
        <v>0</v>
      </c>
      <c r="AR134">
        <f>'Raw Data'!Q127</f>
        <v>0</v>
      </c>
      <c r="AS134">
        <f>'Raw Data'!R127</f>
        <v>1</v>
      </c>
      <c r="AT134">
        <f>'Raw Data'!S127</f>
        <v>0</v>
      </c>
    </row>
    <row r="135" spans="28:46" ht="15">
      <c r="AB135">
        <f>'Raw Data'!A128</f>
        <v>21</v>
      </c>
      <c r="AC135">
        <f>'Raw Data'!B128</f>
        <v>2614</v>
      </c>
      <c r="AD135">
        <f>'Raw Data'!C128</f>
        <v>1</v>
      </c>
      <c r="AE135" t="str">
        <f>'Raw Data'!D128</f>
        <v>Blue</v>
      </c>
      <c r="AF135">
        <f>'Raw Data'!E128</f>
        <v>0</v>
      </c>
      <c r="AG135">
        <f>'Raw Data'!F128</f>
        <v>0</v>
      </c>
      <c r="AH135">
        <f>'Raw Data'!G128</f>
        <v>0</v>
      </c>
      <c r="AI135">
        <f>'Raw Data'!H128</f>
        <v>0</v>
      </c>
      <c r="AJ135">
        <f>'Raw Data'!I128</f>
        <v>1</v>
      </c>
      <c r="AK135">
        <f>'Raw Data'!J128</f>
        <v>0</v>
      </c>
      <c r="AL135">
        <f>'Raw Data'!K128</f>
        <v>1</v>
      </c>
      <c r="AM135">
        <f>'Raw Data'!L128</f>
        <v>1</v>
      </c>
      <c r="AN135">
        <f>'Raw Data'!M128</f>
        <v>2</v>
      </c>
      <c r="AO135">
        <f>'Raw Data'!N128</f>
        <v>0</v>
      </c>
      <c r="AP135">
        <f>'Raw Data'!O128</f>
        <v>0</v>
      </c>
      <c r="AQ135">
        <f>'Raw Data'!P128</f>
        <v>0</v>
      </c>
      <c r="AR135">
        <f>'Raw Data'!Q128</f>
        <v>0</v>
      </c>
      <c r="AS135">
        <f>'Raw Data'!R128</f>
        <v>1</v>
      </c>
      <c r="AT135">
        <f>'Raw Data'!S128</f>
        <v>3</v>
      </c>
    </row>
    <row r="136" spans="28:46" ht="15">
      <c r="AB136">
        <f>'Raw Data'!A129</f>
        <v>21</v>
      </c>
      <c r="AC136">
        <f>'Raw Data'!B129</f>
        <v>2656</v>
      </c>
      <c r="AD136">
        <f>'Raw Data'!C129</f>
        <v>1</v>
      </c>
      <c r="AE136" t="str">
        <f>'Raw Data'!D129</f>
        <v>Blue</v>
      </c>
      <c r="AF136">
        <f>'Raw Data'!E129</f>
        <v>0</v>
      </c>
      <c r="AG136">
        <f>'Raw Data'!F129</f>
        <v>2</v>
      </c>
      <c r="AH136">
        <f>'Raw Data'!G129</f>
        <v>0</v>
      </c>
      <c r="AI136">
        <f>'Raw Data'!H129</f>
        <v>0</v>
      </c>
      <c r="AJ136">
        <f>'Raw Data'!I129</f>
        <v>0</v>
      </c>
      <c r="AK136">
        <f>'Raw Data'!J129</f>
        <v>0</v>
      </c>
      <c r="AL136">
        <f>'Raw Data'!K129</f>
        <v>0</v>
      </c>
      <c r="AM136">
        <f>'Raw Data'!L129</f>
        <v>0</v>
      </c>
      <c r="AN136">
        <f>'Raw Data'!M129</f>
        <v>0</v>
      </c>
      <c r="AO136">
        <f>'Raw Data'!N129</f>
        <v>0</v>
      </c>
      <c r="AP136">
        <f>'Raw Data'!O129</f>
        <v>0</v>
      </c>
      <c r="AQ136">
        <f>'Raw Data'!P129</f>
        <v>0</v>
      </c>
      <c r="AR136">
        <f>'Raw Data'!Q129</f>
        <v>0</v>
      </c>
      <c r="AS136">
        <f>'Raw Data'!R129</f>
        <v>0</v>
      </c>
      <c r="AT136">
        <f>'Raw Data'!S129</f>
        <v>0</v>
      </c>
    </row>
    <row r="137" spans="28:46" ht="15">
      <c r="AB137">
        <f>'Raw Data'!A130</f>
        <v>22</v>
      </c>
      <c r="AC137">
        <f>'Raw Data'!B130</f>
        <v>3062</v>
      </c>
      <c r="AD137">
        <f>'Raw Data'!C130</f>
        <v>1</v>
      </c>
      <c r="AE137" t="str">
        <f>'Raw Data'!D130</f>
        <v>Red</v>
      </c>
      <c r="AF137">
        <f>'Raw Data'!E130</f>
        <v>0</v>
      </c>
      <c r="AG137">
        <f>'Raw Data'!F130</f>
        <v>2</v>
      </c>
      <c r="AH137">
        <f>'Raw Data'!G130</f>
        <v>0</v>
      </c>
      <c r="AI137">
        <f>'Raw Data'!H130</f>
        <v>0</v>
      </c>
      <c r="AJ137">
        <f>'Raw Data'!I130</f>
        <v>0</v>
      </c>
      <c r="AK137">
        <f>'Raw Data'!J130</f>
        <v>0</v>
      </c>
      <c r="AL137">
        <f>'Raw Data'!K130</f>
        <v>0</v>
      </c>
      <c r="AM137">
        <f>'Raw Data'!L130</f>
        <v>0</v>
      </c>
      <c r="AN137">
        <f>'Raw Data'!M130</f>
        <v>0</v>
      </c>
      <c r="AO137">
        <f>'Raw Data'!N130</f>
        <v>0</v>
      </c>
      <c r="AP137">
        <f>'Raw Data'!O130</f>
        <v>0</v>
      </c>
      <c r="AQ137">
        <f>'Raw Data'!P130</f>
        <v>0</v>
      </c>
      <c r="AR137">
        <f>'Raw Data'!Q130</f>
        <v>0</v>
      </c>
      <c r="AS137">
        <f>'Raw Data'!R130</f>
        <v>0</v>
      </c>
      <c r="AT137">
        <f>'Raw Data'!S130</f>
        <v>0</v>
      </c>
    </row>
    <row r="138" spans="28:46" ht="15">
      <c r="AB138">
        <f>'Raw Data'!A131</f>
        <v>22</v>
      </c>
      <c r="AC138">
        <f>'Raw Data'!B131</f>
        <v>451</v>
      </c>
      <c r="AD138">
        <f>'Raw Data'!C131</f>
        <v>1</v>
      </c>
      <c r="AE138" t="str">
        <f>'Raw Data'!D131</f>
        <v>Red</v>
      </c>
      <c r="AF138">
        <f>'Raw Data'!E131</f>
        <v>0</v>
      </c>
      <c r="AG138">
        <f>'Raw Data'!F131</f>
        <v>0</v>
      </c>
      <c r="AH138">
        <f>'Raw Data'!G131</f>
        <v>0</v>
      </c>
      <c r="AI138">
        <f>'Raw Data'!H131</f>
        <v>1</v>
      </c>
      <c r="AJ138">
        <f>'Raw Data'!I131</f>
        <v>0</v>
      </c>
      <c r="AK138">
        <f>'Raw Data'!J131</f>
        <v>0</v>
      </c>
      <c r="AL138">
        <f>'Raw Data'!K131</f>
        <v>1</v>
      </c>
      <c r="AM138">
        <f>'Raw Data'!L131</f>
        <v>4</v>
      </c>
      <c r="AN138">
        <f>'Raw Data'!M131</f>
        <v>2</v>
      </c>
      <c r="AO138">
        <f>'Raw Data'!N131</f>
        <v>0</v>
      </c>
      <c r="AP138">
        <f>'Raw Data'!O131</f>
        <v>0</v>
      </c>
      <c r="AQ138">
        <f>'Raw Data'!P131</f>
        <v>0</v>
      </c>
      <c r="AR138">
        <f>'Raw Data'!Q131</f>
        <v>0</v>
      </c>
      <c r="AS138">
        <f>'Raw Data'!R131</f>
        <v>4</v>
      </c>
      <c r="AT138">
        <f>'Raw Data'!S131</f>
        <v>2</v>
      </c>
    </row>
    <row r="139" spans="28:46" ht="15">
      <c r="AB139">
        <f>'Raw Data'!A132</f>
        <v>22</v>
      </c>
      <c r="AC139">
        <f>'Raw Data'!B132</f>
        <v>3138</v>
      </c>
      <c r="AD139">
        <f>'Raw Data'!C132</f>
        <v>1</v>
      </c>
      <c r="AE139" t="str">
        <f>'Raw Data'!D132</f>
        <v>Red</v>
      </c>
      <c r="AF139">
        <f>'Raw Data'!E132</f>
        <v>0</v>
      </c>
      <c r="AG139">
        <f>'Raw Data'!F132</f>
        <v>0</v>
      </c>
      <c r="AH139">
        <f>'Raw Data'!G132</f>
        <v>0</v>
      </c>
      <c r="AI139">
        <f>'Raw Data'!H132</f>
        <v>1</v>
      </c>
      <c r="AJ139">
        <f>'Raw Data'!I132</f>
        <v>1</v>
      </c>
      <c r="AK139">
        <f>'Raw Data'!J132</f>
        <v>0</v>
      </c>
      <c r="AL139">
        <f>'Raw Data'!K132</f>
        <v>0</v>
      </c>
      <c r="AM139">
        <f>'Raw Data'!L132</f>
        <v>0</v>
      </c>
      <c r="AN139">
        <f>'Raw Data'!M132</f>
        <v>1</v>
      </c>
      <c r="AO139">
        <f>'Raw Data'!N132</f>
        <v>0</v>
      </c>
      <c r="AP139">
        <f>'Raw Data'!O132</f>
        <v>0</v>
      </c>
      <c r="AQ139">
        <f>'Raw Data'!P132</f>
        <v>0</v>
      </c>
      <c r="AR139">
        <f>'Raw Data'!Q132</f>
        <v>0</v>
      </c>
      <c r="AS139">
        <f>'Raw Data'!R132</f>
        <v>0</v>
      </c>
      <c r="AT139">
        <f>'Raw Data'!S132</f>
        <v>2</v>
      </c>
    </row>
    <row r="140" spans="28:46" ht="15">
      <c r="AB140">
        <f>'Raw Data'!A133</f>
        <v>22</v>
      </c>
      <c r="AC140">
        <f>'Raw Data'!B133</f>
        <v>1279</v>
      </c>
      <c r="AD140">
        <f>'Raw Data'!C133</f>
        <v>1</v>
      </c>
      <c r="AE140" t="str">
        <f>'Raw Data'!D133</f>
        <v>Blue</v>
      </c>
      <c r="AF140">
        <f>'Raw Data'!E133</f>
        <v>0</v>
      </c>
      <c r="AG140">
        <f>'Raw Data'!F133</f>
        <v>0</v>
      </c>
      <c r="AH140">
        <f>'Raw Data'!G133</f>
        <v>0</v>
      </c>
      <c r="AI140">
        <f>'Raw Data'!H133</f>
        <v>2</v>
      </c>
      <c r="AJ140">
        <f>'Raw Data'!I133</f>
        <v>1</v>
      </c>
      <c r="AK140">
        <f>'Raw Data'!J133</f>
        <v>1</v>
      </c>
      <c r="AL140">
        <f>'Raw Data'!K133</f>
        <v>1</v>
      </c>
      <c r="AM140">
        <f>'Raw Data'!L133</f>
        <v>1</v>
      </c>
      <c r="AN140">
        <f>'Raw Data'!M133</f>
        <v>2</v>
      </c>
      <c r="AO140">
        <f>'Raw Data'!N133</f>
        <v>0</v>
      </c>
      <c r="AP140">
        <f>'Raw Data'!O133</f>
        <v>0</v>
      </c>
      <c r="AQ140">
        <f>'Raw Data'!P133</f>
        <v>0</v>
      </c>
      <c r="AR140">
        <f>'Raw Data'!Q133</f>
        <v>0</v>
      </c>
      <c r="AS140">
        <f>'Raw Data'!R133</f>
        <v>2</v>
      </c>
      <c r="AT140">
        <f>'Raw Data'!S133</f>
        <v>3</v>
      </c>
    </row>
    <row r="141" spans="28:46" ht="15">
      <c r="AB141">
        <f>'Raw Data'!A134</f>
        <v>22</v>
      </c>
      <c r="AC141">
        <f>'Raw Data'!B134</f>
        <v>2603</v>
      </c>
      <c r="AD141">
        <f>'Raw Data'!C134</f>
        <v>1</v>
      </c>
      <c r="AE141" t="str">
        <f>'Raw Data'!D134</f>
        <v>Blue</v>
      </c>
      <c r="AF141">
        <f>'Raw Data'!E134</f>
        <v>0</v>
      </c>
      <c r="AG141">
        <f>'Raw Data'!F134</f>
        <v>0</v>
      </c>
      <c r="AH141">
        <f>'Raw Data'!G134</f>
        <v>0</v>
      </c>
      <c r="AI141">
        <f>'Raw Data'!H134</f>
        <v>0</v>
      </c>
      <c r="AJ141">
        <f>'Raw Data'!I134</f>
        <v>0</v>
      </c>
      <c r="AK141">
        <f>'Raw Data'!J134</f>
        <v>0</v>
      </c>
      <c r="AL141">
        <f>'Raw Data'!K134</f>
        <v>0</v>
      </c>
      <c r="AM141">
        <f>'Raw Data'!L134</f>
        <v>0</v>
      </c>
      <c r="AN141">
        <f>'Raw Data'!M134</f>
        <v>1</v>
      </c>
      <c r="AO141">
        <f>'Raw Data'!N134</f>
        <v>0</v>
      </c>
      <c r="AP141">
        <f>'Raw Data'!O134</f>
        <v>0</v>
      </c>
      <c r="AQ141">
        <f>'Raw Data'!P134</f>
        <v>0</v>
      </c>
      <c r="AR141">
        <f>'Raw Data'!Q134</f>
        <v>0</v>
      </c>
      <c r="AS141">
        <f>'Raw Data'!R134</f>
        <v>0</v>
      </c>
      <c r="AT141">
        <f>'Raw Data'!S134</f>
        <v>1</v>
      </c>
    </row>
    <row r="142" spans="28:46" ht="15">
      <c r="AB142">
        <f>'Raw Data'!A135</f>
        <v>22</v>
      </c>
      <c r="AC142">
        <f>'Raw Data'!B135</f>
        <v>2252</v>
      </c>
      <c r="AD142">
        <f>'Raw Data'!C135</f>
        <v>1</v>
      </c>
      <c r="AE142" t="str">
        <f>'Raw Data'!D135</f>
        <v>Blue</v>
      </c>
      <c r="AF142">
        <f>'Raw Data'!E135</f>
        <v>0</v>
      </c>
      <c r="AG142">
        <f>'Raw Data'!F135</f>
        <v>0</v>
      </c>
      <c r="AH142">
        <f>'Raw Data'!G135</f>
        <v>0</v>
      </c>
      <c r="AI142">
        <f>'Raw Data'!H135</f>
        <v>0</v>
      </c>
      <c r="AJ142">
        <f>'Raw Data'!I135</f>
        <v>0</v>
      </c>
      <c r="AK142">
        <f>'Raw Data'!J135</f>
        <v>0</v>
      </c>
      <c r="AL142">
        <f>'Raw Data'!K135</f>
        <v>2</v>
      </c>
      <c r="AM142">
        <f>'Raw Data'!L135</f>
        <v>2</v>
      </c>
      <c r="AN142">
        <f>'Raw Data'!M135</f>
        <v>0</v>
      </c>
      <c r="AO142">
        <f>'Raw Data'!N135</f>
        <v>0</v>
      </c>
      <c r="AP142">
        <f>'Raw Data'!O135</f>
        <v>0</v>
      </c>
      <c r="AQ142">
        <f>'Raw Data'!P135</f>
        <v>0</v>
      </c>
      <c r="AR142">
        <f>'Raw Data'!Q135</f>
        <v>1</v>
      </c>
      <c r="AS142">
        <f>'Raw Data'!R135</f>
        <v>1</v>
      </c>
      <c r="AT142">
        <f>'Raw Data'!S135</f>
        <v>0</v>
      </c>
    </row>
    <row r="143" spans="28:46" ht="15">
      <c r="AB143">
        <f>'Raw Data'!A136</f>
        <v>23</v>
      </c>
      <c r="AC143">
        <f>'Raw Data'!B136</f>
        <v>306</v>
      </c>
      <c r="AD143">
        <f>'Raw Data'!C136</f>
        <v>1</v>
      </c>
      <c r="AE143" t="str">
        <f>'Raw Data'!D136</f>
        <v>Red</v>
      </c>
      <c r="AF143">
        <f>'Raw Data'!E136</f>
        <v>0</v>
      </c>
      <c r="AG143">
        <f>'Raw Data'!F136</f>
        <v>0</v>
      </c>
      <c r="AH143">
        <f>'Raw Data'!G136</f>
        <v>0</v>
      </c>
      <c r="AI143">
        <f>'Raw Data'!H136</f>
        <v>0</v>
      </c>
      <c r="AJ143">
        <f>'Raw Data'!I136</f>
        <v>0</v>
      </c>
      <c r="AK143">
        <f>'Raw Data'!J136</f>
        <v>0</v>
      </c>
      <c r="AL143">
        <f>'Raw Data'!K136</f>
        <v>0</v>
      </c>
      <c r="AM143">
        <f>'Raw Data'!L136</f>
        <v>0</v>
      </c>
      <c r="AN143">
        <f>'Raw Data'!M136</f>
        <v>3</v>
      </c>
      <c r="AO143">
        <f>'Raw Data'!N136</f>
        <v>0</v>
      </c>
      <c r="AP143">
        <f>'Raw Data'!O136</f>
        <v>0</v>
      </c>
      <c r="AQ143">
        <f>'Raw Data'!P136</f>
        <v>0</v>
      </c>
      <c r="AR143">
        <f>'Raw Data'!Q136</f>
        <v>1</v>
      </c>
      <c r="AS143">
        <f>'Raw Data'!R136</f>
        <v>-1</v>
      </c>
      <c r="AT143">
        <f>'Raw Data'!S136</f>
        <v>3</v>
      </c>
    </row>
    <row r="144" spans="28:46" ht="15">
      <c r="AB144">
        <f>'Raw Data'!A137</f>
        <v>23</v>
      </c>
      <c r="AC144">
        <f>'Raw Data'!B137</f>
        <v>1990</v>
      </c>
      <c r="AD144">
        <f>'Raw Data'!C137</f>
        <v>1</v>
      </c>
      <c r="AE144" t="str">
        <f>'Raw Data'!D137</f>
        <v>Red</v>
      </c>
      <c r="AF144">
        <f>'Raw Data'!E137</f>
        <v>0</v>
      </c>
      <c r="AG144">
        <f>'Raw Data'!F137</f>
        <v>0</v>
      </c>
      <c r="AH144">
        <f>'Raw Data'!G137</f>
        <v>0</v>
      </c>
      <c r="AI144">
        <f>'Raw Data'!H137</f>
        <v>1</v>
      </c>
      <c r="AJ144">
        <f>'Raw Data'!I137</f>
        <v>1</v>
      </c>
      <c r="AK144">
        <f>'Raw Data'!J137</f>
        <v>0</v>
      </c>
      <c r="AL144">
        <f>'Raw Data'!K137</f>
        <v>1</v>
      </c>
      <c r="AM144">
        <f>'Raw Data'!L137</f>
        <v>0</v>
      </c>
      <c r="AN144">
        <f>'Raw Data'!M137</f>
        <v>0</v>
      </c>
      <c r="AO144">
        <f>'Raw Data'!N137</f>
        <v>0</v>
      </c>
      <c r="AP144">
        <f>'Raw Data'!O137</f>
        <v>0</v>
      </c>
      <c r="AQ144">
        <f>'Raw Data'!P137</f>
        <v>0</v>
      </c>
      <c r="AR144">
        <f>'Raw Data'!Q137</f>
        <v>1</v>
      </c>
      <c r="AS144">
        <f>'Raw Data'!R137</f>
        <v>-1</v>
      </c>
      <c r="AT144">
        <f>'Raw Data'!S137</f>
        <v>1</v>
      </c>
    </row>
    <row r="145" spans="28:46" ht="15">
      <c r="AB145">
        <f>'Raw Data'!A138</f>
        <v>23</v>
      </c>
      <c r="AC145">
        <f>'Raw Data'!B138</f>
        <v>128</v>
      </c>
      <c r="AD145">
        <f>'Raw Data'!C138</f>
        <v>1</v>
      </c>
      <c r="AE145" t="str">
        <f>'Raw Data'!D138</f>
        <v>Red</v>
      </c>
      <c r="AF145">
        <f>'Raw Data'!E138</f>
        <v>0</v>
      </c>
      <c r="AG145">
        <f>'Raw Data'!F138</f>
        <v>0</v>
      </c>
      <c r="AH145">
        <f>'Raw Data'!G138</f>
        <v>0</v>
      </c>
      <c r="AI145">
        <f>'Raw Data'!H138</f>
        <v>1</v>
      </c>
      <c r="AJ145">
        <f>'Raw Data'!I138</f>
        <v>0</v>
      </c>
      <c r="AK145">
        <f>'Raw Data'!J138</f>
        <v>0</v>
      </c>
      <c r="AL145">
        <f>'Raw Data'!K138</f>
        <v>2</v>
      </c>
      <c r="AM145">
        <f>'Raw Data'!L138</f>
        <v>1</v>
      </c>
      <c r="AN145">
        <f>'Raw Data'!M138</f>
        <v>0</v>
      </c>
      <c r="AO145">
        <f>'Raw Data'!N138</f>
        <v>0</v>
      </c>
      <c r="AP145">
        <f>'Raw Data'!O138</f>
        <v>0</v>
      </c>
      <c r="AQ145">
        <f>'Raw Data'!P138</f>
        <v>0</v>
      </c>
      <c r="AR145">
        <f>'Raw Data'!Q138</f>
        <v>0</v>
      </c>
      <c r="AS145">
        <f>'Raw Data'!R138</f>
        <v>1</v>
      </c>
      <c r="AT145">
        <f>'Raw Data'!S138</f>
        <v>0</v>
      </c>
    </row>
    <row r="146" spans="28:46" ht="15">
      <c r="AB146">
        <f>'Raw Data'!A139</f>
        <v>23</v>
      </c>
      <c r="AC146">
        <f>'Raw Data'!B139</f>
        <v>1708</v>
      </c>
      <c r="AD146">
        <f>'Raw Data'!C139</f>
        <v>1</v>
      </c>
      <c r="AE146" t="str">
        <f>'Raw Data'!D139</f>
        <v>Blue</v>
      </c>
      <c r="AF146">
        <f>'Raw Data'!E139</f>
        <v>0</v>
      </c>
      <c r="AG146">
        <f>'Raw Data'!F139</f>
        <v>0</v>
      </c>
      <c r="AH146">
        <f>'Raw Data'!G139</f>
        <v>0</v>
      </c>
      <c r="AI146">
        <f>'Raw Data'!H139</f>
        <v>0</v>
      </c>
      <c r="AJ146">
        <f>'Raw Data'!I139</f>
        <v>0</v>
      </c>
      <c r="AK146">
        <f>'Raw Data'!J139</f>
        <v>0</v>
      </c>
      <c r="AL146">
        <f>'Raw Data'!K139</f>
        <v>0</v>
      </c>
      <c r="AM146">
        <f>'Raw Data'!L139</f>
        <v>0</v>
      </c>
      <c r="AN146">
        <f>'Raw Data'!M139</f>
        <v>0</v>
      </c>
      <c r="AO146">
        <f>'Raw Data'!N139</f>
        <v>0</v>
      </c>
      <c r="AP146">
        <f>'Raw Data'!O139</f>
        <v>0</v>
      </c>
      <c r="AQ146">
        <f>'Raw Data'!P139</f>
        <v>0</v>
      </c>
      <c r="AR146">
        <f>'Raw Data'!Q139</f>
        <v>0</v>
      </c>
      <c r="AS146">
        <f>'Raw Data'!R139</f>
        <v>0</v>
      </c>
      <c r="AT146">
        <f>'Raw Data'!S139</f>
        <v>0</v>
      </c>
    </row>
    <row r="147" spans="28:46" ht="15">
      <c r="AB147">
        <f>'Raw Data'!A140</f>
        <v>23</v>
      </c>
      <c r="AC147">
        <f>'Raw Data'!B140</f>
        <v>2544</v>
      </c>
      <c r="AD147">
        <f>'Raw Data'!C140</f>
        <v>1</v>
      </c>
      <c r="AE147" t="str">
        <f>'Raw Data'!D140</f>
        <v>Blue</v>
      </c>
      <c r="AF147">
        <f>'Raw Data'!E140</f>
        <v>0</v>
      </c>
      <c r="AG147">
        <f>'Raw Data'!F140</f>
        <v>0</v>
      </c>
      <c r="AH147">
        <f>'Raw Data'!G140</f>
        <v>0</v>
      </c>
      <c r="AI147">
        <f>'Raw Data'!H140</f>
        <v>0</v>
      </c>
      <c r="AJ147">
        <f>'Raw Data'!I140</f>
        <v>0</v>
      </c>
      <c r="AK147">
        <f>'Raw Data'!J140</f>
        <v>0</v>
      </c>
      <c r="AL147">
        <f>'Raw Data'!K140</f>
        <v>1</v>
      </c>
      <c r="AM147">
        <f>'Raw Data'!L140</f>
        <v>0</v>
      </c>
      <c r="AN147">
        <f>'Raw Data'!M140</f>
        <v>0</v>
      </c>
      <c r="AO147">
        <f>'Raw Data'!N140</f>
        <v>0</v>
      </c>
      <c r="AP147">
        <f>'Raw Data'!O140</f>
        <v>0</v>
      </c>
      <c r="AQ147">
        <f>'Raw Data'!P140</f>
        <v>0</v>
      </c>
      <c r="AR147">
        <f>'Raw Data'!Q140</f>
        <v>0</v>
      </c>
      <c r="AS147">
        <f>'Raw Data'!R140</f>
        <v>0</v>
      </c>
      <c r="AT147">
        <f>'Raw Data'!S140</f>
        <v>0</v>
      </c>
    </row>
    <row r="148" spans="28:46" ht="15">
      <c r="AB148">
        <f>'Raw Data'!A141</f>
        <v>23</v>
      </c>
      <c r="AC148">
        <f>'Raw Data'!B141</f>
        <v>1503</v>
      </c>
      <c r="AD148">
        <f>'Raw Data'!C141</f>
        <v>1</v>
      </c>
      <c r="AE148" t="str">
        <f>'Raw Data'!D141</f>
        <v>Blue</v>
      </c>
      <c r="AF148">
        <f>'Raw Data'!E141</f>
        <v>0</v>
      </c>
      <c r="AG148">
        <f>'Raw Data'!F141</f>
        <v>0</v>
      </c>
      <c r="AH148">
        <f>'Raw Data'!G141</f>
        <v>0</v>
      </c>
      <c r="AI148">
        <f>'Raw Data'!H141</f>
        <v>0</v>
      </c>
      <c r="AJ148">
        <f>'Raw Data'!I141</f>
        <v>0</v>
      </c>
      <c r="AK148">
        <f>'Raw Data'!J141</f>
        <v>0</v>
      </c>
      <c r="AL148">
        <f>'Raw Data'!K141</f>
        <v>0</v>
      </c>
      <c r="AM148">
        <f>'Raw Data'!L141</f>
        <v>1</v>
      </c>
      <c r="AN148">
        <f>'Raw Data'!M141</f>
        <v>3</v>
      </c>
      <c r="AO148">
        <f>'Raw Data'!N141</f>
        <v>0</v>
      </c>
      <c r="AP148">
        <f>'Raw Data'!O141</f>
        <v>0</v>
      </c>
      <c r="AQ148">
        <f>'Raw Data'!P141</f>
        <v>0</v>
      </c>
      <c r="AR148">
        <f>'Raw Data'!Q141</f>
        <v>0</v>
      </c>
      <c r="AS148">
        <f>'Raw Data'!R141</f>
        <v>1</v>
      </c>
      <c r="AT148">
        <f>'Raw Data'!S141</f>
        <v>3</v>
      </c>
    </row>
    <row r="149" spans="28:46" ht="15">
      <c r="AB149">
        <f>'Raw Data'!A142</f>
        <v>24</v>
      </c>
      <c r="AC149">
        <f>'Raw Data'!B142</f>
        <v>3260</v>
      </c>
      <c r="AD149">
        <f>'Raw Data'!C142</f>
        <v>1</v>
      </c>
      <c r="AE149" t="str">
        <f>'Raw Data'!D142</f>
        <v>Red</v>
      </c>
      <c r="AF149">
        <f>'Raw Data'!E142</f>
        <v>0</v>
      </c>
      <c r="AG149">
        <f>'Raw Data'!F142</f>
        <v>0</v>
      </c>
      <c r="AH149">
        <f>'Raw Data'!G142</f>
        <v>0</v>
      </c>
      <c r="AI149">
        <f>'Raw Data'!H142</f>
        <v>0</v>
      </c>
      <c r="AJ149">
        <f>'Raw Data'!I142</f>
        <v>0</v>
      </c>
      <c r="AK149">
        <f>'Raw Data'!J142</f>
        <v>0</v>
      </c>
      <c r="AL149">
        <f>'Raw Data'!K142</f>
        <v>0</v>
      </c>
      <c r="AM149">
        <f>'Raw Data'!L142</f>
        <v>0</v>
      </c>
      <c r="AN149">
        <f>'Raw Data'!M142</f>
        <v>0</v>
      </c>
      <c r="AO149">
        <f>'Raw Data'!N142</f>
        <v>0</v>
      </c>
      <c r="AP149">
        <f>'Raw Data'!O142</f>
        <v>0</v>
      </c>
      <c r="AQ149">
        <f>'Raw Data'!P142</f>
        <v>0</v>
      </c>
      <c r="AR149">
        <f>'Raw Data'!Q142</f>
        <v>0</v>
      </c>
      <c r="AS149">
        <f>'Raw Data'!R142</f>
        <v>0</v>
      </c>
      <c r="AT149">
        <f>'Raw Data'!S142</f>
        <v>0</v>
      </c>
    </row>
    <row r="150" spans="28:46" ht="15">
      <c r="AB150">
        <f>'Raw Data'!A143</f>
        <v>24</v>
      </c>
      <c r="AC150">
        <f>'Raw Data'!B143</f>
        <v>3193</v>
      </c>
      <c r="AD150">
        <f>'Raw Data'!C143</f>
        <v>1</v>
      </c>
      <c r="AE150" t="str">
        <f>'Raw Data'!D143</f>
        <v>Red</v>
      </c>
      <c r="AF150">
        <f>'Raw Data'!E143</f>
        <v>0</v>
      </c>
      <c r="AG150">
        <f>'Raw Data'!F143</f>
        <v>0</v>
      </c>
      <c r="AH150">
        <f>'Raw Data'!G143</f>
        <v>0</v>
      </c>
      <c r="AI150">
        <f>'Raw Data'!H143</f>
        <v>0</v>
      </c>
      <c r="AJ150">
        <f>'Raw Data'!I143</f>
        <v>0</v>
      </c>
      <c r="AK150">
        <f>'Raw Data'!J143</f>
        <v>0</v>
      </c>
      <c r="AL150">
        <f>'Raw Data'!K143</f>
        <v>1</v>
      </c>
      <c r="AM150">
        <f>'Raw Data'!L143</f>
        <v>0</v>
      </c>
      <c r="AN150">
        <f>'Raw Data'!M143</f>
        <v>1</v>
      </c>
      <c r="AO150">
        <f>'Raw Data'!N143</f>
        <v>0</v>
      </c>
      <c r="AP150">
        <f>'Raw Data'!O143</f>
        <v>0</v>
      </c>
      <c r="AQ150">
        <f>'Raw Data'!P143</f>
        <v>0</v>
      </c>
      <c r="AR150">
        <f>'Raw Data'!Q143</f>
        <v>0</v>
      </c>
      <c r="AS150">
        <f>'Raw Data'!R143</f>
        <v>0</v>
      </c>
      <c r="AT150">
        <f>'Raw Data'!S143</f>
        <v>1</v>
      </c>
    </row>
    <row r="151" spans="28:46" ht="15">
      <c r="AB151">
        <f>'Raw Data'!A144</f>
        <v>24</v>
      </c>
      <c r="AC151">
        <f>'Raw Data'!B144</f>
        <v>222</v>
      </c>
      <c r="AD151">
        <f>'Raw Data'!C144</f>
        <v>1</v>
      </c>
      <c r="AE151" t="str">
        <f>'Raw Data'!D144</f>
        <v>Red</v>
      </c>
      <c r="AF151">
        <f>'Raw Data'!E144</f>
        <v>0</v>
      </c>
      <c r="AG151">
        <f>'Raw Data'!F144</f>
        <v>0</v>
      </c>
      <c r="AH151">
        <f>'Raw Data'!G144</f>
        <v>0</v>
      </c>
      <c r="AI151">
        <f>'Raw Data'!H144</f>
        <v>0</v>
      </c>
      <c r="AJ151">
        <f>'Raw Data'!I144</f>
        <v>0</v>
      </c>
      <c r="AK151">
        <f>'Raw Data'!J144</f>
        <v>0</v>
      </c>
      <c r="AL151">
        <f>'Raw Data'!K144</f>
        <v>0</v>
      </c>
      <c r="AM151">
        <f>'Raw Data'!L144</f>
        <v>0</v>
      </c>
      <c r="AN151">
        <f>'Raw Data'!M144</f>
        <v>0</v>
      </c>
      <c r="AO151">
        <f>'Raw Data'!N144</f>
        <v>0</v>
      </c>
      <c r="AP151">
        <f>'Raw Data'!O144</f>
        <v>0</v>
      </c>
      <c r="AQ151">
        <f>'Raw Data'!P144</f>
        <v>0</v>
      </c>
      <c r="AR151">
        <f>'Raw Data'!Q144</f>
        <v>0</v>
      </c>
      <c r="AS151">
        <f>'Raw Data'!R144</f>
        <v>0</v>
      </c>
      <c r="AT151">
        <f>'Raw Data'!S144</f>
        <v>0</v>
      </c>
    </row>
    <row r="152" spans="28:46" ht="15">
      <c r="AB152">
        <f>'Raw Data'!A145</f>
        <v>24</v>
      </c>
      <c r="AC152">
        <f>'Raw Data'!B145</f>
        <v>1114</v>
      </c>
      <c r="AD152">
        <f>'Raw Data'!C145</f>
        <v>1</v>
      </c>
      <c r="AE152" t="str">
        <f>'Raw Data'!D145</f>
        <v>Blue</v>
      </c>
      <c r="AF152">
        <f>'Raw Data'!E145</f>
        <v>0</v>
      </c>
      <c r="AG152">
        <f>'Raw Data'!F145</f>
        <v>0</v>
      </c>
      <c r="AH152">
        <f>'Raw Data'!G145</f>
        <v>0</v>
      </c>
      <c r="AI152">
        <f>'Raw Data'!H145</f>
        <v>3</v>
      </c>
      <c r="AJ152">
        <f>'Raw Data'!I145</f>
        <v>2</v>
      </c>
      <c r="AK152">
        <f>'Raw Data'!J145</f>
        <v>1</v>
      </c>
      <c r="AL152">
        <f>'Raw Data'!K145</f>
        <v>1</v>
      </c>
      <c r="AM152">
        <f>'Raw Data'!L145</f>
        <v>5</v>
      </c>
      <c r="AN152">
        <f>'Raw Data'!M145</f>
        <v>3</v>
      </c>
      <c r="AO152">
        <f>'Raw Data'!N145</f>
        <v>0</v>
      </c>
      <c r="AP152">
        <f>'Raw Data'!O145</f>
        <v>0</v>
      </c>
      <c r="AQ152">
        <f>'Raw Data'!P145</f>
        <v>2</v>
      </c>
      <c r="AR152">
        <f>'Raw Data'!Q145</f>
        <v>0</v>
      </c>
      <c r="AS152">
        <f>'Raw Data'!R145</f>
        <v>8</v>
      </c>
      <c r="AT152">
        <f>'Raw Data'!S145</f>
        <v>5</v>
      </c>
    </row>
    <row r="153" spans="28:46" ht="15">
      <c r="AB153">
        <f>'Raw Data'!A146</f>
        <v>24</v>
      </c>
      <c r="AC153">
        <f>'Raw Data'!B146</f>
        <v>433</v>
      </c>
      <c r="AD153">
        <f>'Raw Data'!C146</f>
        <v>1</v>
      </c>
      <c r="AE153" t="str">
        <f>'Raw Data'!D146</f>
        <v>Blue</v>
      </c>
      <c r="AF153">
        <f>'Raw Data'!E146</f>
        <v>0</v>
      </c>
      <c r="AG153">
        <f>'Raw Data'!F146</f>
        <v>0</v>
      </c>
      <c r="AH153">
        <f>'Raw Data'!G146</f>
        <v>0</v>
      </c>
      <c r="AI153">
        <f>'Raw Data'!H146</f>
        <v>0</v>
      </c>
      <c r="AJ153">
        <f>'Raw Data'!I146</f>
        <v>0</v>
      </c>
      <c r="AK153">
        <f>'Raw Data'!J146</f>
        <v>0</v>
      </c>
      <c r="AL153">
        <f>'Raw Data'!K146</f>
        <v>0</v>
      </c>
      <c r="AM153">
        <f>'Raw Data'!L146</f>
        <v>1</v>
      </c>
      <c r="AN153">
        <f>'Raw Data'!M146</f>
        <v>1</v>
      </c>
      <c r="AO153">
        <f>'Raw Data'!N146</f>
        <v>0</v>
      </c>
      <c r="AP153">
        <f>'Raw Data'!O146</f>
        <v>0</v>
      </c>
      <c r="AQ153">
        <f>'Raw Data'!P146</f>
        <v>0</v>
      </c>
      <c r="AR153">
        <f>'Raw Data'!Q146</f>
        <v>0</v>
      </c>
      <c r="AS153">
        <f>'Raw Data'!R146</f>
        <v>1</v>
      </c>
      <c r="AT153">
        <f>'Raw Data'!S146</f>
        <v>1</v>
      </c>
    </row>
    <row r="154" spans="28:46" ht="15">
      <c r="AB154">
        <f>'Raw Data'!A147</f>
        <v>24</v>
      </c>
      <c r="AC154">
        <f>'Raw Data'!B147</f>
        <v>337</v>
      </c>
      <c r="AD154">
        <f>'Raw Data'!C147</f>
        <v>1</v>
      </c>
      <c r="AE154" t="str">
        <f>'Raw Data'!D147</f>
        <v>Blue</v>
      </c>
      <c r="AF154">
        <f>'Raw Data'!E147</f>
        <v>0</v>
      </c>
      <c r="AG154">
        <f>'Raw Data'!F147</f>
        <v>0</v>
      </c>
      <c r="AH154">
        <f>'Raw Data'!G147</f>
        <v>0</v>
      </c>
      <c r="AI154">
        <f>'Raw Data'!H147</f>
        <v>0</v>
      </c>
      <c r="AJ154">
        <f>'Raw Data'!I147</f>
        <v>0</v>
      </c>
      <c r="AK154">
        <f>'Raw Data'!J147</f>
        <v>0</v>
      </c>
      <c r="AL154">
        <f>'Raw Data'!K147</f>
        <v>0</v>
      </c>
      <c r="AM154">
        <f>'Raw Data'!L147</f>
        <v>0</v>
      </c>
      <c r="AN154">
        <f>'Raw Data'!M147</f>
        <v>0</v>
      </c>
      <c r="AO154">
        <f>'Raw Data'!N147</f>
        <v>0</v>
      </c>
      <c r="AP154">
        <f>'Raw Data'!O147</f>
        <v>0</v>
      </c>
      <c r="AQ154">
        <f>'Raw Data'!P147</f>
        <v>0</v>
      </c>
      <c r="AR154">
        <f>'Raw Data'!Q147</f>
        <v>0</v>
      </c>
      <c r="AS154">
        <f>'Raw Data'!R147</f>
        <v>0</v>
      </c>
      <c r="AT154">
        <f>'Raw Data'!S147</f>
        <v>0</v>
      </c>
    </row>
    <row r="155" spans="28:46" ht="15">
      <c r="AB155">
        <f>'Raw Data'!A148</f>
        <v>25</v>
      </c>
      <c r="AC155">
        <f>'Raw Data'!B148</f>
        <v>117</v>
      </c>
      <c r="AD155">
        <f>'Raw Data'!C148</f>
        <v>1</v>
      </c>
      <c r="AE155" t="str">
        <f>'Raw Data'!D148</f>
        <v>Red</v>
      </c>
      <c r="AF155">
        <f>'Raw Data'!E148</f>
        <v>0</v>
      </c>
      <c r="AG155">
        <f>'Raw Data'!F148</f>
        <v>0</v>
      </c>
      <c r="AH155">
        <f>'Raw Data'!G148</f>
        <v>0</v>
      </c>
      <c r="AI155">
        <f>'Raw Data'!H148</f>
        <v>0</v>
      </c>
      <c r="AJ155">
        <f>'Raw Data'!I148</f>
        <v>0</v>
      </c>
      <c r="AK155">
        <f>'Raw Data'!J148</f>
        <v>0</v>
      </c>
      <c r="AL155">
        <f>'Raw Data'!K148</f>
        <v>0</v>
      </c>
      <c r="AM155">
        <f>'Raw Data'!L148</f>
        <v>0</v>
      </c>
      <c r="AN155">
        <f>'Raw Data'!M148</f>
        <v>2</v>
      </c>
      <c r="AO155">
        <f>'Raw Data'!N148</f>
        <v>0</v>
      </c>
      <c r="AP155">
        <f>'Raw Data'!O148</f>
        <v>0</v>
      </c>
      <c r="AQ155">
        <f>'Raw Data'!P148</f>
        <v>0</v>
      </c>
      <c r="AR155">
        <f>'Raw Data'!Q148</f>
        <v>0</v>
      </c>
      <c r="AS155">
        <f>'Raw Data'!R148</f>
        <v>0</v>
      </c>
      <c r="AT155">
        <f>'Raw Data'!S148</f>
        <v>2</v>
      </c>
    </row>
    <row r="156" spans="28:46" ht="15">
      <c r="AB156">
        <f>'Raw Data'!A149</f>
        <v>25</v>
      </c>
      <c r="AC156">
        <f>'Raw Data'!B149</f>
        <v>2809</v>
      </c>
      <c r="AD156">
        <f>'Raw Data'!C149</f>
        <v>1</v>
      </c>
      <c r="AE156" t="str">
        <f>'Raw Data'!D149</f>
        <v>Red</v>
      </c>
      <c r="AF156" t="str">
        <f>'Raw Data'!E149</f>
        <v>off</v>
      </c>
      <c r="AG156">
        <f>'Raw Data'!F149</f>
        <v>0</v>
      </c>
      <c r="AH156">
        <f>'Raw Data'!G149</f>
        <v>0</v>
      </c>
      <c r="AI156">
        <f>'Raw Data'!H149</f>
        <v>0</v>
      </c>
      <c r="AJ156">
        <f>'Raw Data'!I149</f>
        <v>0</v>
      </c>
      <c r="AK156">
        <f>'Raw Data'!J149</f>
        <v>0</v>
      </c>
      <c r="AL156">
        <f>'Raw Data'!K149</f>
        <v>2</v>
      </c>
      <c r="AM156">
        <f>'Raw Data'!L149</f>
        <v>3</v>
      </c>
      <c r="AN156">
        <f>'Raw Data'!M149</f>
        <v>0</v>
      </c>
      <c r="AO156">
        <f>'Raw Data'!N149</f>
        <v>0</v>
      </c>
      <c r="AP156">
        <f>'Raw Data'!O149</f>
        <v>0</v>
      </c>
      <c r="AQ156">
        <f>'Raw Data'!P149</f>
        <v>0</v>
      </c>
      <c r="AR156">
        <f>'Raw Data'!Q149</f>
        <v>0</v>
      </c>
      <c r="AS156">
        <f>'Raw Data'!R149</f>
        <v>3</v>
      </c>
      <c r="AT156">
        <f>'Raw Data'!S149</f>
        <v>0</v>
      </c>
    </row>
    <row r="157" spans="28:46" ht="15">
      <c r="AB157">
        <f>'Raw Data'!A150</f>
        <v>25</v>
      </c>
      <c r="AC157">
        <f>'Raw Data'!B150</f>
        <v>2618</v>
      </c>
      <c r="AD157">
        <f>'Raw Data'!C150</f>
        <v>1</v>
      </c>
      <c r="AE157" t="str">
        <f>'Raw Data'!D150</f>
        <v>Red</v>
      </c>
      <c r="AF157">
        <f>'Raw Data'!E150</f>
        <v>0</v>
      </c>
      <c r="AG157">
        <f>'Raw Data'!F150</f>
        <v>0</v>
      </c>
      <c r="AH157">
        <f>'Raw Data'!G150</f>
        <v>0</v>
      </c>
      <c r="AI157">
        <f>'Raw Data'!H150</f>
        <v>0</v>
      </c>
      <c r="AJ157">
        <f>'Raw Data'!I150</f>
        <v>0</v>
      </c>
      <c r="AK157">
        <f>'Raw Data'!J150</f>
        <v>0</v>
      </c>
      <c r="AL157">
        <f>'Raw Data'!K150</f>
        <v>0</v>
      </c>
      <c r="AM157">
        <f>'Raw Data'!L150</f>
        <v>0</v>
      </c>
      <c r="AN157">
        <f>'Raw Data'!M150</f>
        <v>0</v>
      </c>
      <c r="AO157">
        <f>'Raw Data'!N150</f>
        <v>0</v>
      </c>
      <c r="AP157">
        <f>'Raw Data'!O150</f>
        <v>0</v>
      </c>
      <c r="AQ157">
        <f>'Raw Data'!P150</f>
        <v>0</v>
      </c>
      <c r="AR157">
        <f>'Raw Data'!Q150</f>
        <v>0</v>
      </c>
      <c r="AS157">
        <f>'Raw Data'!R150</f>
        <v>0</v>
      </c>
      <c r="AT157">
        <f>'Raw Data'!S150</f>
        <v>0</v>
      </c>
    </row>
    <row r="158" spans="28:46" ht="15">
      <c r="AB158">
        <f>'Raw Data'!A151</f>
        <v>25</v>
      </c>
      <c r="AC158">
        <f>'Raw Data'!B151</f>
        <v>2614</v>
      </c>
      <c r="AD158">
        <f>'Raw Data'!C151</f>
        <v>1</v>
      </c>
      <c r="AE158" t="str">
        <f>'Raw Data'!D151</f>
        <v>Blue</v>
      </c>
      <c r="AF158">
        <f>'Raw Data'!E151</f>
        <v>0</v>
      </c>
      <c r="AG158">
        <f>'Raw Data'!F151</f>
        <v>0</v>
      </c>
      <c r="AH158">
        <f>'Raw Data'!G151</f>
        <v>0</v>
      </c>
      <c r="AI158">
        <f>'Raw Data'!H151</f>
        <v>0</v>
      </c>
      <c r="AJ158">
        <f>'Raw Data'!I151</f>
        <v>1</v>
      </c>
      <c r="AK158">
        <f>'Raw Data'!J151</f>
        <v>1</v>
      </c>
      <c r="AL158">
        <f>'Raw Data'!K151</f>
        <v>0</v>
      </c>
      <c r="AM158">
        <f>'Raw Data'!L151</f>
        <v>0</v>
      </c>
      <c r="AN158">
        <f>'Raw Data'!M151</f>
        <v>0</v>
      </c>
      <c r="AO158">
        <f>'Raw Data'!N151</f>
        <v>0</v>
      </c>
      <c r="AP158">
        <f>'Raw Data'!O151</f>
        <v>0</v>
      </c>
      <c r="AQ158">
        <f>'Raw Data'!P151</f>
        <v>0</v>
      </c>
      <c r="AR158">
        <f>'Raw Data'!Q151</f>
        <v>0</v>
      </c>
      <c r="AS158">
        <f>'Raw Data'!R151</f>
        <v>1</v>
      </c>
      <c r="AT158">
        <f>'Raw Data'!S151</f>
        <v>1</v>
      </c>
    </row>
    <row r="159" spans="28:46" ht="15">
      <c r="AB159">
        <f>'Raw Data'!A152</f>
        <v>25</v>
      </c>
      <c r="AC159">
        <f>'Raw Data'!B152</f>
        <v>2279</v>
      </c>
      <c r="AD159">
        <f>'Raw Data'!C152</f>
        <v>1</v>
      </c>
      <c r="AE159" t="str">
        <f>'Raw Data'!D152</f>
        <v>Blue</v>
      </c>
      <c r="AF159">
        <f>'Raw Data'!E152</f>
        <v>0</v>
      </c>
      <c r="AG159">
        <f>'Raw Data'!F152</f>
        <v>0</v>
      </c>
      <c r="AH159">
        <f>'Raw Data'!G152</f>
        <v>0</v>
      </c>
      <c r="AI159">
        <f>'Raw Data'!H152</f>
        <v>0</v>
      </c>
      <c r="AJ159">
        <f>'Raw Data'!I152</f>
        <v>0</v>
      </c>
      <c r="AK159">
        <f>'Raw Data'!J152</f>
        <v>0</v>
      </c>
      <c r="AL159">
        <f>'Raw Data'!K152</f>
        <v>0</v>
      </c>
      <c r="AM159">
        <f>'Raw Data'!L152</f>
        <v>0</v>
      </c>
      <c r="AN159">
        <f>'Raw Data'!M152</f>
        <v>0</v>
      </c>
      <c r="AO159">
        <f>'Raw Data'!N152</f>
        <v>0</v>
      </c>
      <c r="AP159">
        <f>'Raw Data'!O152</f>
        <v>0</v>
      </c>
      <c r="AQ159">
        <f>'Raw Data'!P152</f>
        <v>0</v>
      </c>
      <c r="AR159">
        <f>'Raw Data'!Q152</f>
        <v>1</v>
      </c>
      <c r="AS159">
        <f>'Raw Data'!R152</f>
        <v>-1</v>
      </c>
      <c r="AT159">
        <f>'Raw Data'!S152</f>
        <v>0</v>
      </c>
    </row>
    <row r="160" spans="28:46" ht="15">
      <c r="AB160">
        <f>'Raw Data'!A153</f>
        <v>25</v>
      </c>
      <c r="AC160">
        <f>'Raw Data'!B153</f>
        <v>2614</v>
      </c>
      <c r="AD160">
        <f>'Raw Data'!C153</f>
        <v>1</v>
      </c>
      <c r="AE160" t="str">
        <f>'Raw Data'!D153</f>
        <v>Blue</v>
      </c>
      <c r="AF160">
        <f>'Raw Data'!E153</f>
        <v>0</v>
      </c>
      <c r="AG160">
        <f>'Raw Data'!F153</f>
        <v>0</v>
      </c>
      <c r="AH160">
        <f>'Raw Data'!G153</f>
        <v>0</v>
      </c>
      <c r="AI160">
        <f>'Raw Data'!H153</f>
        <v>0</v>
      </c>
      <c r="AJ160">
        <f>'Raw Data'!I153</f>
        <v>0</v>
      </c>
      <c r="AK160">
        <f>'Raw Data'!J153</f>
        <v>0</v>
      </c>
      <c r="AL160">
        <f>'Raw Data'!K153</f>
        <v>0</v>
      </c>
      <c r="AM160">
        <f>'Raw Data'!L153</f>
        <v>0</v>
      </c>
      <c r="AN160">
        <f>'Raw Data'!M153</f>
        <v>0</v>
      </c>
      <c r="AO160">
        <f>'Raw Data'!N153</f>
        <v>0</v>
      </c>
      <c r="AP160">
        <f>'Raw Data'!O153</f>
        <v>0</v>
      </c>
      <c r="AQ160">
        <f>'Raw Data'!P153</f>
        <v>0</v>
      </c>
      <c r="AR160">
        <f>'Raw Data'!Q153</f>
        <v>0</v>
      </c>
      <c r="AS160">
        <f>'Raw Data'!R153</f>
        <v>0</v>
      </c>
      <c r="AT160">
        <f>'Raw Data'!S153</f>
        <v>0</v>
      </c>
    </row>
    <row r="161" spans="28:46" ht="15">
      <c r="AB161">
        <f>'Raw Data'!A154</f>
        <v>26</v>
      </c>
      <c r="AC161">
        <f>'Raw Data'!B154</f>
        <v>1038</v>
      </c>
      <c r="AD161">
        <f>'Raw Data'!C154</f>
        <v>1</v>
      </c>
      <c r="AE161" t="str">
        <f>'Raw Data'!D154</f>
        <v>Red</v>
      </c>
      <c r="AF161">
        <f>'Raw Data'!E154</f>
        <v>0</v>
      </c>
      <c r="AG161">
        <f>'Raw Data'!F154</f>
        <v>0</v>
      </c>
      <c r="AH161">
        <f>'Raw Data'!G154</f>
        <v>0</v>
      </c>
      <c r="AI161">
        <f>'Raw Data'!H154</f>
        <v>1</v>
      </c>
      <c r="AJ161">
        <f>'Raw Data'!I154</f>
        <v>0</v>
      </c>
      <c r="AK161">
        <f>'Raw Data'!J154</f>
        <v>0</v>
      </c>
      <c r="AL161">
        <f>'Raw Data'!K154</f>
        <v>0</v>
      </c>
      <c r="AM161">
        <f>'Raw Data'!L154</f>
        <v>0</v>
      </c>
      <c r="AN161">
        <f>'Raw Data'!M154</f>
        <v>0</v>
      </c>
      <c r="AO161">
        <f>'Raw Data'!N154</f>
        <v>0</v>
      </c>
      <c r="AP161">
        <f>'Raw Data'!O154</f>
        <v>0</v>
      </c>
      <c r="AQ161">
        <f>'Raw Data'!P154</f>
        <v>0</v>
      </c>
      <c r="AR161">
        <f>'Raw Data'!Q154</f>
        <v>0</v>
      </c>
      <c r="AS161">
        <f>'Raw Data'!R154</f>
        <v>0</v>
      </c>
      <c r="AT161">
        <f>'Raw Data'!S154</f>
        <v>0</v>
      </c>
    </row>
    <row r="162" spans="28:46" ht="15">
      <c r="AB162">
        <f>'Raw Data'!A155</f>
        <v>26</v>
      </c>
      <c r="AC162">
        <f>'Raw Data'!B155</f>
        <v>63</v>
      </c>
      <c r="AD162">
        <f>'Raw Data'!C155</f>
        <v>1</v>
      </c>
      <c r="AE162" t="str">
        <f>'Raw Data'!D155</f>
        <v>Red</v>
      </c>
      <c r="AF162">
        <f>'Raw Data'!E155</f>
        <v>0</v>
      </c>
      <c r="AG162">
        <f>'Raw Data'!F155</f>
        <v>0</v>
      </c>
      <c r="AH162">
        <f>'Raw Data'!G155</f>
        <v>0</v>
      </c>
      <c r="AI162">
        <f>'Raw Data'!H155</f>
        <v>1</v>
      </c>
      <c r="AJ162">
        <f>'Raw Data'!I155</f>
        <v>0</v>
      </c>
      <c r="AK162">
        <f>'Raw Data'!J155</f>
        <v>1</v>
      </c>
      <c r="AL162">
        <f>'Raw Data'!K155</f>
        <v>5</v>
      </c>
      <c r="AM162">
        <f>'Raw Data'!L155</f>
        <v>3</v>
      </c>
      <c r="AN162">
        <f>'Raw Data'!M155</f>
        <v>1</v>
      </c>
      <c r="AO162">
        <f>'Raw Data'!N155</f>
        <v>0</v>
      </c>
      <c r="AP162">
        <f>'Raw Data'!O155</f>
        <v>0</v>
      </c>
      <c r="AQ162">
        <f>'Raw Data'!P155</f>
        <v>0</v>
      </c>
      <c r="AR162">
        <f>'Raw Data'!Q155</f>
        <v>0</v>
      </c>
      <c r="AS162">
        <f>'Raw Data'!R155</f>
        <v>4</v>
      </c>
      <c r="AT162">
        <f>'Raw Data'!S155</f>
        <v>1</v>
      </c>
    </row>
    <row r="163" spans="28:46" ht="15">
      <c r="AB163">
        <f>'Raw Data'!A156</f>
        <v>26</v>
      </c>
      <c r="AC163">
        <f>'Raw Data'!B156</f>
        <v>2603</v>
      </c>
      <c r="AD163">
        <f>'Raw Data'!C156</f>
        <v>1</v>
      </c>
      <c r="AE163" t="str">
        <f>'Raw Data'!D156</f>
        <v>Red</v>
      </c>
      <c r="AF163">
        <f>'Raw Data'!E156</f>
        <v>0</v>
      </c>
      <c r="AG163">
        <f>'Raw Data'!F156</f>
        <v>0</v>
      </c>
      <c r="AH163">
        <f>'Raw Data'!G156</f>
        <v>0</v>
      </c>
      <c r="AI163">
        <f>'Raw Data'!H156</f>
        <v>0</v>
      </c>
      <c r="AJ163">
        <f>'Raw Data'!I156</f>
        <v>0</v>
      </c>
      <c r="AK163">
        <f>'Raw Data'!J156</f>
        <v>0</v>
      </c>
      <c r="AL163">
        <f>'Raw Data'!K156</f>
        <v>0</v>
      </c>
      <c r="AM163">
        <f>'Raw Data'!L156</f>
        <v>0</v>
      </c>
      <c r="AN163">
        <f>'Raw Data'!M156</f>
        <v>0</v>
      </c>
      <c r="AO163">
        <f>'Raw Data'!N156</f>
        <v>0</v>
      </c>
      <c r="AP163">
        <f>'Raw Data'!O156</f>
        <v>0</v>
      </c>
      <c r="AQ163">
        <f>'Raw Data'!P156</f>
        <v>0</v>
      </c>
      <c r="AR163">
        <f>'Raw Data'!Q156</f>
        <v>1</v>
      </c>
      <c r="AS163">
        <f>'Raw Data'!R156</f>
        <v>-1</v>
      </c>
      <c r="AT163">
        <f>'Raw Data'!S156</f>
        <v>0</v>
      </c>
    </row>
    <row r="164" spans="28:46" ht="15">
      <c r="AB164">
        <f>'Raw Data'!A157</f>
        <v>26</v>
      </c>
      <c r="AC164">
        <f>'Raw Data'!B157</f>
        <v>1249</v>
      </c>
      <c r="AD164">
        <f>'Raw Data'!C157</f>
        <v>1</v>
      </c>
      <c r="AE164" t="str">
        <f>'Raw Data'!D157</f>
        <v>Blue</v>
      </c>
      <c r="AF164">
        <f>'Raw Data'!E157</f>
        <v>0</v>
      </c>
      <c r="AG164">
        <f>'Raw Data'!F157</f>
        <v>0</v>
      </c>
      <c r="AH164">
        <f>'Raw Data'!G157</f>
        <v>0</v>
      </c>
      <c r="AI164">
        <f>'Raw Data'!H157</f>
        <v>0</v>
      </c>
      <c r="AJ164">
        <f>'Raw Data'!I157</f>
        <v>0</v>
      </c>
      <c r="AK164">
        <f>'Raw Data'!J157</f>
        <v>0</v>
      </c>
      <c r="AL164">
        <f>'Raw Data'!K157</f>
        <v>3</v>
      </c>
      <c r="AM164">
        <f>'Raw Data'!L157</f>
        <v>2</v>
      </c>
      <c r="AN164">
        <f>'Raw Data'!M157</f>
        <v>1</v>
      </c>
      <c r="AO164">
        <f>'Raw Data'!N157</f>
        <v>0</v>
      </c>
      <c r="AP164">
        <f>'Raw Data'!O157</f>
        <v>0</v>
      </c>
      <c r="AQ164">
        <f>'Raw Data'!P157</f>
        <v>0</v>
      </c>
      <c r="AR164">
        <f>'Raw Data'!Q157</f>
        <v>0</v>
      </c>
      <c r="AS164">
        <f>'Raw Data'!R157</f>
        <v>2</v>
      </c>
      <c r="AT164">
        <f>'Raw Data'!S157</f>
        <v>1</v>
      </c>
    </row>
    <row r="165" spans="28:46" ht="15">
      <c r="AB165">
        <f>'Raw Data'!A158</f>
        <v>26</v>
      </c>
      <c r="AC165">
        <f>'Raw Data'!B158</f>
        <v>2051</v>
      </c>
      <c r="AD165">
        <f>'Raw Data'!C158</f>
        <v>1</v>
      </c>
      <c r="AE165" t="str">
        <f>'Raw Data'!D158</f>
        <v>Blue</v>
      </c>
      <c r="AF165">
        <f>'Raw Data'!E158</f>
        <v>0</v>
      </c>
      <c r="AG165">
        <f>'Raw Data'!F158</f>
        <v>0</v>
      </c>
      <c r="AH165">
        <f>'Raw Data'!G158</f>
        <v>0</v>
      </c>
      <c r="AI165">
        <f>'Raw Data'!H158</f>
        <v>0</v>
      </c>
      <c r="AJ165">
        <f>'Raw Data'!I158</f>
        <v>0</v>
      </c>
      <c r="AK165">
        <f>'Raw Data'!J158</f>
        <v>0</v>
      </c>
      <c r="AL165">
        <f>'Raw Data'!K158</f>
        <v>4</v>
      </c>
      <c r="AM165">
        <f>'Raw Data'!L158</f>
        <v>3</v>
      </c>
      <c r="AN165">
        <f>'Raw Data'!M158</f>
        <v>0</v>
      </c>
      <c r="AO165">
        <f>'Raw Data'!N158</f>
        <v>0</v>
      </c>
      <c r="AP165">
        <f>'Raw Data'!O158</f>
        <v>0</v>
      </c>
      <c r="AQ165">
        <f>'Raw Data'!P158</f>
        <v>0</v>
      </c>
      <c r="AR165">
        <f>'Raw Data'!Q158</f>
        <v>0</v>
      </c>
      <c r="AS165">
        <f>'Raw Data'!R158</f>
        <v>3</v>
      </c>
      <c r="AT165">
        <f>'Raw Data'!S158</f>
        <v>0</v>
      </c>
    </row>
    <row r="166" spans="28:46" ht="15">
      <c r="AB166">
        <f>'Raw Data'!A159</f>
        <v>26</v>
      </c>
      <c r="AC166">
        <f>'Raw Data'!B159</f>
        <v>1743</v>
      </c>
      <c r="AD166">
        <f>'Raw Data'!C159</f>
        <v>1</v>
      </c>
      <c r="AE166" t="str">
        <f>'Raw Data'!D159</f>
        <v>Blue</v>
      </c>
      <c r="AF166">
        <f>'Raw Data'!E159</f>
        <v>0</v>
      </c>
      <c r="AG166">
        <f>'Raw Data'!F159</f>
        <v>0</v>
      </c>
      <c r="AH166">
        <f>'Raw Data'!G159</f>
        <v>0</v>
      </c>
      <c r="AI166">
        <f>'Raw Data'!H159</f>
        <v>0</v>
      </c>
      <c r="AJ166">
        <f>'Raw Data'!I159</f>
        <v>0</v>
      </c>
      <c r="AK166">
        <f>'Raw Data'!J159</f>
        <v>0</v>
      </c>
      <c r="AL166">
        <f>'Raw Data'!K159</f>
        <v>0</v>
      </c>
      <c r="AM166">
        <f>'Raw Data'!L159</f>
        <v>0</v>
      </c>
      <c r="AN166">
        <f>'Raw Data'!M159</f>
        <v>1</v>
      </c>
      <c r="AO166">
        <f>'Raw Data'!N159</f>
        <v>0</v>
      </c>
      <c r="AP166">
        <f>'Raw Data'!O159</f>
        <v>0</v>
      </c>
      <c r="AQ166">
        <f>'Raw Data'!P159</f>
        <v>0</v>
      </c>
      <c r="AR166">
        <f>'Raw Data'!Q159</f>
        <v>1</v>
      </c>
      <c r="AS166">
        <f>'Raw Data'!R159</f>
        <v>-1</v>
      </c>
      <c r="AT166">
        <f>'Raw Data'!S159</f>
        <v>1</v>
      </c>
    </row>
    <row r="167" spans="28:46" ht="15">
      <c r="AB167">
        <f>'Raw Data'!A160</f>
        <v>27</v>
      </c>
      <c r="AC167">
        <f>'Raw Data'!B160</f>
        <v>2809</v>
      </c>
      <c r="AD167">
        <f>'Raw Data'!C160</f>
        <v>1</v>
      </c>
      <c r="AE167" t="str">
        <f>'Raw Data'!D160</f>
        <v>Red</v>
      </c>
      <c r="AF167" t="str">
        <f>'Raw Data'!E160</f>
        <v>mid</v>
      </c>
      <c r="AG167">
        <f>'Raw Data'!F160</f>
        <v>0</v>
      </c>
      <c r="AH167">
        <f>'Raw Data'!G160</f>
        <v>0</v>
      </c>
      <c r="AI167">
        <f>'Raw Data'!H160</f>
        <v>0</v>
      </c>
      <c r="AJ167">
        <f>'Raw Data'!I160</f>
        <v>0</v>
      </c>
      <c r="AK167">
        <f>'Raw Data'!J160</f>
        <v>0</v>
      </c>
      <c r="AL167">
        <f>'Raw Data'!K160</f>
        <v>4</v>
      </c>
      <c r="AM167">
        <f>'Raw Data'!L160</f>
        <v>0</v>
      </c>
      <c r="AN167">
        <f>'Raw Data'!M160</f>
        <v>1</v>
      </c>
      <c r="AO167">
        <f>'Raw Data'!N160</f>
        <v>0</v>
      </c>
      <c r="AP167">
        <f>'Raw Data'!O160</f>
        <v>0</v>
      </c>
      <c r="AQ167">
        <f>'Raw Data'!P160</f>
        <v>0</v>
      </c>
      <c r="AR167">
        <f>'Raw Data'!Q160</f>
        <v>0</v>
      </c>
      <c r="AS167">
        <f>'Raw Data'!R160</f>
        <v>0</v>
      </c>
      <c r="AT167">
        <f>'Raw Data'!S160</f>
        <v>1</v>
      </c>
    </row>
    <row r="168" spans="28:46" ht="15">
      <c r="AB168">
        <f>'Raw Data'!A161</f>
        <v>27</v>
      </c>
      <c r="AC168" t="str">
        <f>'Raw Data'!B161</f>
        <v>x</v>
      </c>
      <c r="AD168">
        <f>'Raw Data'!C161</f>
        <v>1</v>
      </c>
      <c r="AE168" t="str">
        <f>'Raw Data'!D161</f>
        <v>Red</v>
      </c>
      <c r="AF168">
        <f>'Raw Data'!E161</f>
        <v>0</v>
      </c>
      <c r="AG168">
        <f>'Raw Data'!F161</f>
        <v>0</v>
      </c>
      <c r="AH168">
        <f>'Raw Data'!G161</f>
        <v>0</v>
      </c>
      <c r="AI168">
        <f>'Raw Data'!H161</f>
        <v>0</v>
      </c>
      <c r="AJ168">
        <f>'Raw Data'!I161</f>
        <v>0</v>
      </c>
      <c r="AK168">
        <f>'Raw Data'!J161</f>
        <v>0</v>
      </c>
      <c r="AL168">
        <f>'Raw Data'!K161</f>
        <v>4</v>
      </c>
      <c r="AM168">
        <f>'Raw Data'!L161</f>
        <v>1</v>
      </c>
      <c r="AN168">
        <f>'Raw Data'!M161</f>
        <v>0</v>
      </c>
      <c r="AO168">
        <f>'Raw Data'!N161</f>
        <v>0</v>
      </c>
      <c r="AP168">
        <f>'Raw Data'!O161</f>
        <v>0</v>
      </c>
      <c r="AQ168">
        <f>'Raw Data'!P161</f>
        <v>0</v>
      </c>
      <c r="AR168">
        <f>'Raw Data'!Q161</f>
        <v>1</v>
      </c>
      <c r="AS168">
        <f>'Raw Data'!R161</f>
        <v>0</v>
      </c>
      <c r="AT168">
        <f>'Raw Data'!S161</f>
        <v>0</v>
      </c>
    </row>
    <row r="169" spans="28:46" ht="15">
      <c r="AB169">
        <f>'Raw Data'!A162</f>
        <v>27</v>
      </c>
      <c r="AC169">
        <f>'Raw Data'!B162</f>
        <v>2544</v>
      </c>
      <c r="AD169">
        <f>'Raw Data'!C162</f>
        <v>1</v>
      </c>
      <c r="AE169" t="str">
        <f>'Raw Data'!D162</f>
        <v>Red</v>
      </c>
      <c r="AF169">
        <f>'Raw Data'!E162</f>
        <v>0</v>
      </c>
      <c r="AG169">
        <f>'Raw Data'!F162</f>
        <v>0</v>
      </c>
      <c r="AH169">
        <f>'Raw Data'!G162</f>
        <v>0</v>
      </c>
      <c r="AI169">
        <f>'Raw Data'!H162</f>
        <v>0</v>
      </c>
      <c r="AJ169">
        <f>'Raw Data'!I162</f>
        <v>0</v>
      </c>
      <c r="AK169">
        <f>'Raw Data'!J162</f>
        <v>0</v>
      </c>
      <c r="AL169">
        <f>'Raw Data'!K162</f>
        <v>0</v>
      </c>
      <c r="AM169">
        <f>'Raw Data'!L162</f>
        <v>0</v>
      </c>
      <c r="AN169">
        <f>'Raw Data'!M162</f>
        <v>0</v>
      </c>
      <c r="AO169">
        <f>'Raw Data'!N162</f>
        <v>0</v>
      </c>
      <c r="AP169">
        <f>'Raw Data'!O162</f>
        <v>0</v>
      </c>
      <c r="AQ169">
        <f>'Raw Data'!P162</f>
        <v>0</v>
      </c>
      <c r="AR169">
        <f>'Raw Data'!Q162</f>
        <v>0</v>
      </c>
      <c r="AS169">
        <f>'Raw Data'!R162</f>
        <v>0</v>
      </c>
      <c r="AT169">
        <f>'Raw Data'!S162</f>
        <v>0</v>
      </c>
    </row>
    <row r="170" spans="28:46" ht="15">
      <c r="AB170">
        <f>'Raw Data'!A163</f>
        <v>27</v>
      </c>
      <c r="AC170">
        <f>'Raw Data'!B163</f>
        <v>117</v>
      </c>
      <c r="AD170">
        <f>'Raw Data'!C163</f>
        <v>1</v>
      </c>
      <c r="AE170" t="str">
        <f>'Raw Data'!D163</f>
        <v>Blue</v>
      </c>
      <c r="AF170">
        <f>'Raw Data'!E163</f>
        <v>0</v>
      </c>
      <c r="AG170">
        <f>'Raw Data'!F163</f>
        <v>0</v>
      </c>
      <c r="AH170">
        <f>'Raw Data'!G163</f>
        <v>0</v>
      </c>
      <c r="AI170">
        <f>'Raw Data'!H163</f>
        <v>0</v>
      </c>
      <c r="AJ170">
        <f>'Raw Data'!I163</f>
        <v>0</v>
      </c>
      <c r="AK170">
        <f>'Raw Data'!J163</f>
        <v>0</v>
      </c>
      <c r="AL170">
        <f>'Raw Data'!K163</f>
        <v>3</v>
      </c>
      <c r="AM170">
        <f>'Raw Data'!L163</f>
        <v>1</v>
      </c>
      <c r="AN170">
        <f>'Raw Data'!M163</f>
        <v>0</v>
      </c>
      <c r="AO170">
        <f>'Raw Data'!N163</f>
        <v>0</v>
      </c>
      <c r="AP170">
        <f>'Raw Data'!O163</f>
        <v>0</v>
      </c>
      <c r="AQ170">
        <f>'Raw Data'!P163</f>
        <v>0</v>
      </c>
      <c r="AR170">
        <f>'Raw Data'!Q163</f>
        <v>0</v>
      </c>
      <c r="AS170">
        <f>'Raw Data'!R163</f>
        <v>1</v>
      </c>
      <c r="AT170">
        <f>'Raw Data'!S163</f>
        <v>0</v>
      </c>
    </row>
    <row r="171" spans="28:46" ht="15">
      <c r="AB171">
        <f>'Raw Data'!A164</f>
        <v>27</v>
      </c>
      <c r="AC171">
        <f>'Raw Data'!B164</f>
        <v>3193</v>
      </c>
      <c r="AD171">
        <f>'Raw Data'!C164</f>
        <v>1</v>
      </c>
      <c r="AE171" t="str">
        <f>'Raw Data'!D164</f>
        <v>Blue</v>
      </c>
      <c r="AF171">
        <f>'Raw Data'!E164</f>
        <v>0</v>
      </c>
      <c r="AG171">
        <f>'Raw Data'!F164</f>
        <v>0</v>
      </c>
      <c r="AH171">
        <f>'Raw Data'!G164</f>
        <v>0</v>
      </c>
      <c r="AI171">
        <f>'Raw Data'!H164</f>
        <v>0</v>
      </c>
      <c r="AJ171">
        <f>'Raw Data'!I164</f>
        <v>0</v>
      </c>
      <c r="AK171">
        <f>'Raw Data'!J164</f>
        <v>0</v>
      </c>
      <c r="AL171">
        <f>'Raw Data'!K164</f>
        <v>5</v>
      </c>
      <c r="AM171">
        <f>'Raw Data'!L164</f>
        <v>3</v>
      </c>
      <c r="AN171">
        <f>'Raw Data'!M164</f>
        <v>0</v>
      </c>
      <c r="AO171">
        <f>'Raw Data'!N164</f>
        <v>0</v>
      </c>
      <c r="AP171">
        <f>'Raw Data'!O164</f>
        <v>0</v>
      </c>
      <c r="AQ171">
        <f>'Raw Data'!P164</f>
        <v>0</v>
      </c>
      <c r="AR171">
        <f>'Raw Data'!Q164</f>
        <v>0</v>
      </c>
      <c r="AS171">
        <f>'Raw Data'!R164</f>
        <v>3</v>
      </c>
      <c r="AT171">
        <f>'Raw Data'!S164</f>
        <v>0</v>
      </c>
    </row>
    <row r="172" spans="28:46" ht="15">
      <c r="AB172">
        <f>'Raw Data'!A165</f>
        <v>27</v>
      </c>
      <c r="AC172">
        <f>'Raw Data'!B165</f>
        <v>1279</v>
      </c>
      <c r="AD172">
        <f>'Raw Data'!C165</f>
        <v>1</v>
      </c>
      <c r="AE172" t="str">
        <f>'Raw Data'!D165</f>
        <v>Blue</v>
      </c>
      <c r="AF172">
        <f>'Raw Data'!E165</f>
        <v>0</v>
      </c>
      <c r="AG172">
        <f>'Raw Data'!F165</f>
        <v>0</v>
      </c>
      <c r="AH172">
        <f>'Raw Data'!G165</f>
        <v>0</v>
      </c>
      <c r="AI172">
        <f>'Raw Data'!H165</f>
        <v>2</v>
      </c>
      <c r="AJ172">
        <f>'Raw Data'!I165</f>
        <v>1</v>
      </c>
      <c r="AK172">
        <f>'Raw Data'!J165</f>
        <v>1</v>
      </c>
      <c r="AL172">
        <f>'Raw Data'!K165</f>
        <v>1</v>
      </c>
      <c r="AM172">
        <f>'Raw Data'!L165</f>
        <v>1</v>
      </c>
      <c r="AN172">
        <f>'Raw Data'!M165</f>
        <v>0</v>
      </c>
      <c r="AO172">
        <f>'Raw Data'!N165</f>
        <v>0</v>
      </c>
      <c r="AP172">
        <f>'Raw Data'!O165</f>
        <v>0</v>
      </c>
      <c r="AQ172">
        <f>'Raw Data'!P165</f>
        <v>0</v>
      </c>
      <c r="AR172">
        <f>'Raw Data'!Q165</f>
        <v>0</v>
      </c>
      <c r="AS172">
        <f>'Raw Data'!R165</f>
        <v>2</v>
      </c>
      <c r="AT172">
        <f>'Raw Data'!S165</f>
        <v>1</v>
      </c>
    </row>
    <row r="173" spans="28:46" ht="15">
      <c r="AB173">
        <f>'Raw Data'!A166</f>
        <v>28</v>
      </c>
      <c r="AC173">
        <f>'Raw Data'!B166</f>
        <v>2618</v>
      </c>
      <c r="AD173">
        <f>'Raw Data'!C166</f>
        <v>1</v>
      </c>
      <c r="AE173" t="str">
        <f>'Raw Data'!D166</f>
        <v>Red</v>
      </c>
      <c r="AF173">
        <f>'Raw Data'!E166</f>
        <v>0</v>
      </c>
      <c r="AG173">
        <f>'Raw Data'!F166</f>
        <v>0</v>
      </c>
      <c r="AH173">
        <f>'Raw Data'!G166</f>
        <v>0</v>
      </c>
      <c r="AI173">
        <f>'Raw Data'!H166</f>
        <v>0</v>
      </c>
      <c r="AJ173">
        <f>'Raw Data'!I166</f>
        <v>0</v>
      </c>
      <c r="AK173">
        <f>'Raw Data'!J166</f>
        <v>0</v>
      </c>
      <c r="AL173">
        <f>'Raw Data'!K166</f>
        <v>0</v>
      </c>
      <c r="AM173">
        <f>'Raw Data'!L166</f>
        <v>0</v>
      </c>
      <c r="AN173">
        <f>'Raw Data'!M166</f>
        <v>0</v>
      </c>
      <c r="AO173">
        <f>'Raw Data'!N166</f>
        <v>0</v>
      </c>
      <c r="AP173">
        <f>'Raw Data'!O166</f>
        <v>0</v>
      </c>
      <c r="AQ173">
        <f>'Raw Data'!P166</f>
        <v>0</v>
      </c>
      <c r="AR173">
        <f>'Raw Data'!Q166</f>
        <v>0</v>
      </c>
      <c r="AS173">
        <f>'Raw Data'!R166</f>
        <v>0</v>
      </c>
      <c r="AT173">
        <f>'Raw Data'!S166</f>
        <v>0</v>
      </c>
    </row>
    <row r="174" spans="28:46" ht="15">
      <c r="AB174">
        <f>'Raw Data'!A167</f>
        <v>28</v>
      </c>
      <c r="AC174">
        <f>'Raw Data'!B167</f>
        <v>337</v>
      </c>
      <c r="AD174">
        <f>'Raw Data'!C167</f>
        <v>1</v>
      </c>
      <c r="AE174" t="str">
        <f>'Raw Data'!D167</f>
        <v>Red</v>
      </c>
      <c r="AF174">
        <f>'Raw Data'!E167</f>
        <v>0</v>
      </c>
      <c r="AG174">
        <f>'Raw Data'!F167</f>
        <v>0</v>
      </c>
      <c r="AH174">
        <f>'Raw Data'!G167</f>
        <v>0</v>
      </c>
      <c r="AI174">
        <f>'Raw Data'!H167</f>
        <v>0</v>
      </c>
      <c r="AJ174">
        <f>'Raw Data'!I167</f>
        <v>0</v>
      </c>
      <c r="AK174">
        <f>'Raw Data'!J167</f>
        <v>0</v>
      </c>
      <c r="AL174">
        <f>'Raw Data'!K167</f>
        <v>1</v>
      </c>
      <c r="AM174">
        <f>'Raw Data'!L167</f>
        <v>1</v>
      </c>
      <c r="AN174">
        <f>'Raw Data'!M167</f>
        <v>2</v>
      </c>
      <c r="AO174">
        <f>'Raw Data'!N167</f>
        <v>0</v>
      </c>
      <c r="AP174">
        <f>'Raw Data'!O167</f>
        <v>0</v>
      </c>
      <c r="AQ174">
        <f>'Raw Data'!P167</f>
        <v>0</v>
      </c>
      <c r="AR174">
        <f>'Raw Data'!Q167</f>
        <v>0</v>
      </c>
      <c r="AS174">
        <f>'Raw Data'!R167</f>
        <v>1</v>
      </c>
      <c r="AT174">
        <f>'Raw Data'!S167</f>
        <v>2</v>
      </c>
    </row>
    <row r="175" spans="28:46" ht="15">
      <c r="AB175">
        <f>'Raw Data'!A168</f>
        <v>28</v>
      </c>
      <c r="AC175">
        <f>'Raw Data'!B168</f>
        <v>2051</v>
      </c>
      <c r="AD175">
        <f>'Raw Data'!C168</f>
        <v>1</v>
      </c>
      <c r="AE175" t="str">
        <f>'Raw Data'!D168</f>
        <v>Red</v>
      </c>
      <c r="AF175">
        <f>'Raw Data'!E168</f>
        <v>0</v>
      </c>
      <c r="AG175">
        <f>'Raw Data'!F168</f>
        <v>0</v>
      </c>
      <c r="AH175">
        <f>'Raw Data'!G168</f>
        <v>0</v>
      </c>
      <c r="AI175">
        <f>'Raw Data'!H168</f>
        <v>0</v>
      </c>
      <c r="AJ175">
        <f>'Raw Data'!I168</f>
        <v>0</v>
      </c>
      <c r="AK175">
        <f>'Raw Data'!J168</f>
        <v>0</v>
      </c>
      <c r="AL175">
        <f>'Raw Data'!K168</f>
        <v>10</v>
      </c>
      <c r="AM175">
        <f>'Raw Data'!L168</f>
        <v>4</v>
      </c>
      <c r="AN175">
        <f>'Raw Data'!M168</f>
        <v>0</v>
      </c>
      <c r="AO175">
        <f>'Raw Data'!N168</f>
        <v>0</v>
      </c>
      <c r="AP175">
        <f>'Raw Data'!O168</f>
        <v>0</v>
      </c>
      <c r="AQ175">
        <f>'Raw Data'!P168</f>
        <v>0</v>
      </c>
      <c r="AR175">
        <f>'Raw Data'!Q168</f>
        <v>0</v>
      </c>
      <c r="AS175">
        <f>'Raw Data'!R168</f>
        <v>4</v>
      </c>
      <c r="AT175">
        <f>'Raw Data'!S168</f>
        <v>0</v>
      </c>
    </row>
    <row r="176" spans="28:46" ht="15">
      <c r="AB176">
        <f>'Raw Data'!A169</f>
        <v>28</v>
      </c>
      <c r="AC176">
        <f>'Raw Data'!B169</f>
        <v>1038</v>
      </c>
      <c r="AD176">
        <f>'Raw Data'!C169</f>
        <v>1</v>
      </c>
      <c r="AE176" t="str">
        <f>'Raw Data'!D169</f>
        <v>Blue</v>
      </c>
      <c r="AF176">
        <f>'Raw Data'!E169</f>
        <v>0</v>
      </c>
      <c r="AG176">
        <f>'Raw Data'!F169</f>
        <v>0</v>
      </c>
      <c r="AH176">
        <f>'Raw Data'!G169</f>
        <v>0</v>
      </c>
      <c r="AI176">
        <f>'Raw Data'!H169</f>
        <v>0</v>
      </c>
      <c r="AJ176">
        <f>'Raw Data'!I169</f>
        <v>0</v>
      </c>
      <c r="AK176">
        <f>'Raw Data'!J169</f>
        <v>0</v>
      </c>
      <c r="AL176">
        <f>'Raw Data'!K169</f>
        <v>0</v>
      </c>
      <c r="AM176">
        <f>'Raw Data'!L169</f>
        <v>0</v>
      </c>
      <c r="AN176">
        <f>'Raw Data'!M169</f>
        <v>0</v>
      </c>
      <c r="AO176">
        <f>'Raw Data'!N169</f>
        <v>0</v>
      </c>
      <c r="AP176">
        <f>'Raw Data'!O169</f>
        <v>0</v>
      </c>
      <c r="AQ176">
        <f>'Raw Data'!P169</f>
        <v>0</v>
      </c>
      <c r="AR176">
        <f>'Raw Data'!Q169</f>
        <v>0</v>
      </c>
      <c r="AS176">
        <f>'Raw Data'!R169</f>
        <v>0</v>
      </c>
      <c r="AT176">
        <f>'Raw Data'!S169</f>
        <v>0</v>
      </c>
    </row>
    <row r="177" spans="28:46" ht="15">
      <c r="AB177">
        <f>'Raw Data'!A170</f>
        <v>28</v>
      </c>
      <c r="AC177">
        <f>'Raw Data'!B170</f>
        <v>1503</v>
      </c>
      <c r="AD177">
        <f>'Raw Data'!C170</f>
        <v>1</v>
      </c>
      <c r="AE177" t="str">
        <f>'Raw Data'!D170</f>
        <v>Blue</v>
      </c>
      <c r="AF177">
        <f>'Raw Data'!E170</f>
        <v>0</v>
      </c>
      <c r="AG177">
        <f>'Raw Data'!F170</f>
        <v>0</v>
      </c>
      <c r="AH177">
        <f>'Raw Data'!G170</f>
        <v>0</v>
      </c>
      <c r="AI177">
        <f>'Raw Data'!H170</f>
        <v>0</v>
      </c>
      <c r="AJ177">
        <f>'Raw Data'!I170</f>
        <v>0</v>
      </c>
      <c r="AK177">
        <f>'Raw Data'!J170</f>
        <v>0</v>
      </c>
      <c r="AL177">
        <f>'Raw Data'!K170</f>
        <v>1</v>
      </c>
      <c r="AM177">
        <f>'Raw Data'!L170</f>
        <v>3</v>
      </c>
      <c r="AN177">
        <f>'Raw Data'!M170</f>
        <v>2</v>
      </c>
      <c r="AO177">
        <f>'Raw Data'!N170</f>
        <v>0</v>
      </c>
      <c r="AP177">
        <f>'Raw Data'!O170</f>
        <v>0</v>
      </c>
      <c r="AQ177">
        <f>'Raw Data'!P170</f>
        <v>0</v>
      </c>
      <c r="AR177">
        <f>'Raw Data'!Q170</f>
        <v>0</v>
      </c>
      <c r="AS177">
        <f>'Raw Data'!R170</f>
        <v>3</v>
      </c>
      <c r="AT177">
        <f>'Raw Data'!S170</f>
        <v>2</v>
      </c>
    </row>
    <row r="178" spans="28:46" ht="15">
      <c r="AB178">
        <f>'Raw Data'!A171</f>
        <v>28</v>
      </c>
      <c r="AC178">
        <f>'Raw Data'!B171</f>
        <v>128</v>
      </c>
      <c r="AD178">
        <f>'Raw Data'!C171</f>
        <v>1</v>
      </c>
      <c r="AE178" t="str">
        <f>'Raw Data'!D171</f>
        <v>Blue</v>
      </c>
      <c r="AF178">
        <f>'Raw Data'!E171</f>
        <v>0</v>
      </c>
      <c r="AG178">
        <f>'Raw Data'!F171</f>
        <v>0</v>
      </c>
      <c r="AH178">
        <f>'Raw Data'!G171</f>
        <v>0</v>
      </c>
      <c r="AI178">
        <f>'Raw Data'!H171</f>
        <v>0</v>
      </c>
      <c r="AJ178">
        <f>'Raw Data'!I171</f>
        <v>0</v>
      </c>
      <c r="AK178">
        <f>'Raw Data'!J171</f>
        <v>0</v>
      </c>
      <c r="AL178">
        <f>'Raw Data'!K171</f>
        <v>0</v>
      </c>
      <c r="AM178">
        <f>'Raw Data'!L171</f>
        <v>0</v>
      </c>
      <c r="AN178">
        <f>'Raw Data'!M171</f>
        <v>0</v>
      </c>
      <c r="AO178">
        <f>'Raw Data'!N171</f>
        <v>0</v>
      </c>
      <c r="AP178">
        <f>'Raw Data'!O171</f>
        <v>0</v>
      </c>
      <c r="AQ178">
        <f>'Raw Data'!P171</f>
        <v>0</v>
      </c>
      <c r="AR178">
        <f>'Raw Data'!Q171</f>
        <v>0</v>
      </c>
      <c r="AS178">
        <f>'Raw Data'!R171</f>
        <v>0</v>
      </c>
      <c r="AT178">
        <f>'Raw Data'!S171</f>
        <v>0</v>
      </c>
    </row>
    <row r="179" spans="28:46" ht="15">
      <c r="AB179">
        <f>'Raw Data'!A172</f>
        <v>29</v>
      </c>
      <c r="AC179">
        <f>'Raw Data'!B172</f>
        <v>1708</v>
      </c>
      <c r="AD179">
        <f>'Raw Data'!C172</f>
        <v>1</v>
      </c>
      <c r="AE179" t="str">
        <f>'Raw Data'!D172</f>
        <v>Red</v>
      </c>
      <c r="AF179">
        <f>'Raw Data'!E172</f>
        <v>0</v>
      </c>
      <c r="AG179">
        <f>'Raw Data'!F172</f>
        <v>0</v>
      </c>
      <c r="AH179">
        <f>'Raw Data'!G172</f>
        <v>0</v>
      </c>
      <c r="AI179">
        <f>'Raw Data'!H172</f>
        <v>0</v>
      </c>
      <c r="AJ179">
        <f>'Raw Data'!I172</f>
        <v>0</v>
      </c>
      <c r="AK179">
        <f>'Raw Data'!J172</f>
        <v>0</v>
      </c>
      <c r="AL179">
        <f>'Raw Data'!K172</f>
        <v>0</v>
      </c>
      <c r="AM179">
        <f>'Raw Data'!L172</f>
        <v>0</v>
      </c>
      <c r="AN179">
        <f>'Raw Data'!M172</f>
        <v>0</v>
      </c>
      <c r="AO179">
        <f>'Raw Data'!N172</f>
        <v>0</v>
      </c>
      <c r="AP179">
        <f>'Raw Data'!O172</f>
        <v>0</v>
      </c>
      <c r="AQ179">
        <f>'Raw Data'!P172</f>
        <v>0</v>
      </c>
      <c r="AR179">
        <f>'Raw Data'!Q172</f>
        <v>0</v>
      </c>
      <c r="AS179">
        <f>'Raw Data'!R172</f>
        <v>0</v>
      </c>
      <c r="AT179">
        <f>'Raw Data'!S172</f>
        <v>0</v>
      </c>
    </row>
    <row r="180" spans="28:46" ht="15">
      <c r="AB180">
        <f>'Raw Data'!A173</f>
        <v>29</v>
      </c>
      <c r="AC180">
        <f>'Raw Data'!B173</f>
        <v>3138</v>
      </c>
      <c r="AD180">
        <f>'Raw Data'!C173</f>
        <v>1</v>
      </c>
      <c r="AE180" t="str">
        <f>'Raw Data'!D173</f>
        <v>Red</v>
      </c>
      <c r="AF180">
        <f>'Raw Data'!E173</f>
        <v>0</v>
      </c>
      <c r="AG180">
        <f>'Raw Data'!F173</f>
        <v>0</v>
      </c>
      <c r="AH180">
        <f>'Raw Data'!G173</f>
        <v>0</v>
      </c>
      <c r="AI180">
        <f>'Raw Data'!H173</f>
        <v>1</v>
      </c>
      <c r="AJ180">
        <f>'Raw Data'!I173</f>
        <v>1</v>
      </c>
      <c r="AK180">
        <f>'Raw Data'!J173</f>
        <v>0</v>
      </c>
      <c r="AL180">
        <f>'Raw Data'!K173</f>
        <v>4</v>
      </c>
      <c r="AM180">
        <f>'Raw Data'!L173</f>
        <v>3</v>
      </c>
      <c r="AN180">
        <f>'Raw Data'!M173</f>
        <v>3</v>
      </c>
      <c r="AO180">
        <f>'Raw Data'!N173</f>
        <v>0</v>
      </c>
      <c r="AP180">
        <f>'Raw Data'!O173</f>
        <v>0</v>
      </c>
      <c r="AQ180">
        <f>'Raw Data'!P173</f>
        <v>0</v>
      </c>
      <c r="AR180">
        <f>'Raw Data'!Q173</f>
        <v>0</v>
      </c>
      <c r="AS180">
        <f>'Raw Data'!R173</f>
        <v>3</v>
      </c>
      <c r="AT180">
        <f>'Raw Data'!S173</f>
        <v>4</v>
      </c>
    </row>
    <row r="181" spans="28:46" ht="15">
      <c r="AB181">
        <f>'Raw Data'!A174</f>
        <v>29</v>
      </c>
      <c r="AC181">
        <f>'Raw Data'!B174</f>
        <v>222</v>
      </c>
      <c r="AD181">
        <f>'Raw Data'!C174</f>
        <v>1</v>
      </c>
      <c r="AE181" t="str">
        <f>'Raw Data'!D174</f>
        <v>Red</v>
      </c>
      <c r="AF181">
        <f>'Raw Data'!E174</f>
        <v>0</v>
      </c>
      <c r="AG181">
        <f>'Raw Data'!F174</f>
        <v>0</v>
      </c>
      <c r="AH181">
        <f>'Raw Data'!G174</f>
        <v>0</v>
      </c>
      <c r="AI181">
        <f>'Raw Data'!H174</f>
        <v>0</v>
      </c>
      <c r="AJ181">
        <f>'Raw Data'!I174</f>
        <v>0</v>
      </c>
      <c r="AK181">
        <f>'Raw Data'!J174</f>
        <v>0</v>
      </c>
      <c r="AL181">
        <f>'Raw Data'!K174</f>
        <v>8</v>
      </c>
      <c r="AM181">
        <f>'Raw Data'!L174</f>
        <v>4</v>
      </c>
      <c r="AN181">
        <f>'Raw Data'!M174</f>
        <v>0</v>
      </c>
      <c r="AO181">
        <f>'Raw Data'!N174</f>
        <v>0</v>
      </c>
      <c r="AP181">
        <f>'Raw Data'!O174</f>
        <v>0</v>
      </c>
      <c r="AQ181">
        <f>'Raw Data'!P174</f>
        <v>2</v>
      </c>
      <c r="AR181">
        <f>'Raw Data'!Q174</f>
        <v>0</v>
      </c>
      <c r="AS181">
        <f>'Raw Data'!R174</f>
        <v>6</v>
      </c>
      <c r="AT181">
        <f>'Raw Data'!S174</f>
        <v>0</v>
      </c>
    </row>
    <row r="182" spans="28:46" ht="15">
      <c r="AB182">
        <f>'Raw Data'!A175</f>
        <v>29</v>
      </c>
      <c r="AC182">
        <f>'Raw Data'!B175</f>
        <v>2656</v>
      </c>
      <c r="AD182">
        <f>'Raw Data'!C175</f>
        <v>1</v>
      </c>
      <c r="AE182" t="str">
        <f>'Raw Data'!D175</f>
        <v>Blue</v>
      </c>
      <c r="AF182">
        <f>'Raw Data'!E175</f>
        <v>0</v>
      </c>
      <c r="AG182">
        <f>'Raw Data'!F175</f>
        <v>0</v>
      </c>
      <c r="AH182">
        <f>'Raw Data'!G175</f>
        <v>0</v>
      </c>
      <c r="AI182">
        <f>'Raw Data'!H175</f>
        <v>0</v>
      </c>
      <c r="AJ182">
        <f>'Raw Data'!I175</f>
        <v>0</v>
      </c>
      <c r="AK182">
        <f>'Raw Data'!J175</f>
        <v>0</v>
      </c>
      <c r="AL182">
        <f>'Raw Data'!K175</f>
        <v>0</v>
      </c>
      <c r="AM182">
        <f>'Raw Data'!L175</f>
        <v>0</v>
      </c>
      <c r="AN182">
        <f>'Raw Data'!M175</f>
        <v>0</v>
      </c>
      <c r="AO182">
        <f>'Raw Data'!N175</f>
        <v>0</v>
      </c>
      <c r="AP182">
        <f>'Raw Data'!O175</f>
        <v>0</v>
      </c>
      <c r="AQ182">
        <f>'Raw Data'!P175</f>
        <v>0</v>
      </c>
      <c r="AR182">
        <f>'Raw Data'!Q175</f>
        <v>0</v>
      </c>
      <c r="AS182">
        <f>'Raw Data'!R175</f>
        <v>0</v>
      </c>
      <c r="AT182">
        <f>'Raw Data'!S175</f>
        <v>0</v>
      </c>
    </row>
    <row r="183" spans="28:46" ht="15">
      <c r="AB183">
        <f>'Raw Data'!A176</f>
        <v>29</v>
      </c>
      <c r="AC183">
        <f>'Raw Data'!B176</f>
        <v>433</v>
      </c>
      <c r="AD183">
        <f>'Raw Data'!C176</f>
        <v>1</v>
      </c>
      <c r="AE183" t="str">
        <f>'Raw Data'!D176</f>
        <v>Blue</v>
      </c>
      <c r="AF183">
        <f>'Raw Data'!E176</f>
        <v>0</v>
      </c>
      <c r="AG183">
        <f>'Raw Data'!F176</f>
        <v>0</v>
      </c>
      <c r="AH183">
        <f>'Raw Data'!G176</f>
        <v>0</v>
      </c>
      <c r="AI183">
        <f>'Raw Data'!H176</f>
        <v>0</v>
      </c>
      <c r="AJ183">
        <f>'Raw Data'!I176</f>
        <v>0</v>
      </c>
      <c r="AK183">
        <f>'Raw Data'!J176</f>
        <v>0</v>
      </c>
      <c r="AL183">
        <f>'Raw Data'!K176</f>
        <v>0</v>
      </c>
      <c r="AM183">
        <f>'Raw Data'!L176</f>
        <v>0</v>
      </c>
      <c r="AN183">
        <f>'Raw Data'!M176</f>
        <v>1</v>
      </c>
      <c r="AO183">
        <f>'Raw Data'!N176</f>
        <v>0</v>
      </c>
      <c r="AP183">
        <f>'Raw Data'!O176</f>
        <v>0</v>
      </c>
      <c r="AQ183">
        <f>'Raw Data'!P176</f>
        <v>0</v>
      </c>
      <c r="AR183">
        <f>'Raw Data'!Q176</f>
        <v>0</v>
      </c>
      <c r="AS183">
        <f>'Raw Data'!R176</f>
        <v>0</v>
      </c>
      <c r="AT183">
        <f>'Raw Data'!S176</f>
        <v>1</v>
      </c>
    </row>
    <row r="184" spans="28:46" ht="15">
      <c r="AB184">
        <f>'Raw Data'!A177</f>
        <v>29</v>
      </c>
      <c r="AC184">
        <f>'Raw Data'!B177</f>
        <v>3062</v>
      </c>
      <c r="AD184">
        <f>'Raw Data'!C177</f>
        <v>1</v>
      </c>
      <c r="AE184" t="str">
        <f>'Raw Data'!D177</f>
        <v>Blue</v>
      </c>
      <c r="AF184">
        <f>'Raw Data'!E177</f>
        <v>0</v>
      </c>
      <c r="AG184">
        <f>'Raw Data'!F177</f>
        <v>0</v>
      </c>
      <c r="AH184">
        <f>'Raw Data'!G177</f>
        <v>0</v>
      </c>
      <c r="AI184">
        <f>'Raw Data'!H177</f>
        <v>0</v>
      </c>
      <c r="AJ184">
        <f>'Raw Data'!I177</f>
        <v>0</v>
      </c>
      <c r="AK184">
        <f>'Raw Data'!J177</f>
        <v>0</v>
      </c>
      <c r="AL184">
        <f>'Raw Data'!K177</f>
        <v>0</v>
      </c>
      <c r="AM184">
        <f>'Raw Data'!L177</f>
        <v>4</v>
      </c>
      <c r="AN184">
        <f>'Raw Data'!M177</f>
        <v>0</v>
      </c>
      <c r="AO184">
        <f>'Raw Data'!N177</f>
        <v>0</v>
      </c>
      <c r="AP184">
        <f>'Raw Data'!O177</f>
        <v>0</v>
      </c>
      <c r="AQ184">
        <f>'Raw Data'!P177</f>
        <v>0</v>
      </c>
      <c r="AR184">
        <f>'Raw Data'!Q177</f>
        <v>0</v>
      </c>
      <c r="AS184">
        <f>'Raw Data'!R177</f>
        <v>4</v>
      </c>
      <c r="AT184">
        <f>'Raw Data'!S177</f>
        <v>0</v>
      </c>
    </row>
    <row r="185" spans="28:46" ht="15">
      <c r="AB185">
        <f>'Raw Data'!A178</f>
        <v>30</v>
      </c>
      <c r="AC185">
        <f>'Raw Data'!B178</f>
        <v>3260</v>
      </c>
      <c r="AD185">
        <f>'Raw Data'!C178</f>
        <v>1</v>
      </c>
      <c r="AE185" t="str">
        <f>'Raw Data'!D178</f>
        <v>Red</v>
      </c>
      <c r="AF185">
        <f>'Raw Data'!E178</f>
        <v>0</v>
      </c>
      <c r="AG185">
        <f>'Raw Data'!F178</f>
        <v>0</v>
      </c>
      <c r="AH185">
        <f>'Raw Data'!G178</f>
        <v>0</v>
      </c>
      <c r="AI185">
        <f>'Raw Data'!H178</f>
        <v>0</v>
      </c>
      <c r="AJ185">
        <f>'Raw Data'!I178</f>
        <v>0</v>
      </c>
      <c r="AK185">
        <f>'Raw Data'!J178</f>
        <v>0</v>
      </c>
      <c r="AL185">
        <f>'Raw Data'!K178</f>
        <v>5</v>
      </c>
      <c r="AM185">
        <f>'Raw Data'!L178</f>
        <v>0</v>
      </c>
      <c r="AN185">
        <f>'Raw Data'!M178</f>
        <v>0</v>
      </c>
      <c r="AO185">
        <f>'Raw Data'!N178</f>
        <v>0</v>
      </c>
      <c r="AP185">
        <f>'Raw Data'!O178</f>
        <v>0</v>
      </c>
      <c r="AQ185">
        <f>'Raw Data'!P178</f>
        <v>0</v>
      </c>
      <c r="AR185">
        <f>'Raw Data'!Q178</f>
        <v>0</v>
      </c>
      <c r="AS185">
        <f>'Raw Data'!R178</f>
        <v>0</v>
      </c>
      <c r="AT185">
        <f>'Raw Data'!S178</f>
        <v>0</v>
      </c>
    </row>
    <row r="186" spans="28:46" ht="15">
      <c r="AB186">
        <f>'Raw Data'!A179</f>
        <v>30</v>
      </c>
      <c r="AC186">
        <f>'Raw Data'!B179</f>
        <v>1990</v>
      </c>
      <c r="AD186">
        <f>'Raw Data'!C179</f>
        <v>1</v>
      </c>
      <c r="AE186" t="str">
        <f>'Raw Data'!D179</f>
        <v>Red</v>
      </c>
      <c r="AF186">
        <f>'Raw Data'!E179</f>
        <v>0</v>
      </c>
      <c r="AG186">
        <f>'Raw Data'!F179</f>
        <v>0</v>
      </c>
      <c r="AH186">
        <f>'Raw Data'!G179</f>
        <v>0</v>
      </c>
      <c r="AI186">
        <f>'Raw Data'!H179</f>
        <v>1</v>
      </c>
      <c r="AJ186">
        <f>'Raw Data'!I179</f>
        <v>1</v>
      </c>
      <c r="AK186">
        <f>'Raw Data'!J179</f>
        <v>0</v>
      </c>
      <c r="AL186">
        <f>'Raw Data'!K179</f>
        <v>4</v>
      </c>
      <c r="AM186">
        <f>'Raw Data'!L179</f>
        <v>0</v>
      </c>
      <c r="AN186">
        <f>'Raw Data'!M179</f>
        <v>3</v>
      </c>
      <c r="AO186">
        <f>'Raw Data'!N179</f>
        <v>0</v>
      </c>
      <c r="AP186">
        <f>'Raw Data'!O179</f>
        <v>0</v>
      </c>
      <c r="AQ186">
        <f>'Raw Data'!P179</f>
        <v>0</v>
      </c>
      <c r="AR186">
        <f>'Raw Data'!Q179</f>
        <v>1</v>
      </c>
      <c r="AS186">
        <f>'Raw Data'!R179</f>
        <v>-1</v>
      </c>
      <c r="AT186">
        <f>'Raw Data'!S179</f>
        <v>4</v>
      </c>
    </row>
    <row r="187" spans="28:46" ht="15">
      <c r="AB187">
        <f>'Raw Data'!A180</f>
        <v>30</v>
      </c>
      <c r="AC187">
        <f>'Raw Data'!B180</f>
        <v>2641</v>
      </c>
      <c r="AD187">
        <f>'Raw Data'!C180</f>
        <v>1</v>
      </c>
      <c r="AE187" t="str">
        <f>'Raw Data'!D180</f>
        <v>Red</v>
      </c>
      <c r="AF187">
        <f>'Raw Data'!E180</f>
        <v>0</v>
      </c>
      <c r="AG187">
        <f>'Raw Data'!F180</f>
        <v>0</v>
      </c>
      <c r="AH187">
        <f>'Raw Data'!G180</f>
        <v>0</v>
      </c>
      <c r="AI187">
        <f>'Raw Data'!H180</f>
        <v>0</v>
      </c>
      <c r="AJ187">
        <f>'Raw Data'!I180</f>
        <v>0</v>
      </c>
      <c r="AK187">
        <f>'Raw Data'!J180</f>
        <v>0</v>
      </c>
      <c r="AL187">
        <f>'Raw Data'!K180</f>
        <v>0</v>
      </c>
      <c r="AM187">
        <f>'Raw Data'!L180</f>
        <v>0</v>
      </c>
      <c r="AN187">
        <f>'Raw Data'!M180</f>
        <v>1</v>
      </c>
      <c r="AO187">
        <f>'Raw Data'!N180</f>
        <v>0</v>
      </c>
      <c r="AP187">
        <f>'Raw Data'!O180</f>
        <v>0</v>
      </c>
      <c r="AQ187">
        <f>'Raw Data'!P180</f>
        <v>0</v>
      </c>
      <c r="AR187">
        <f>'Raw Data'!Q180</f>
        <v>0</v>
      </c>
      <c r="AS187">
        <f>'Raw Data'!R180</f>
        <v>0</v>
      </c>
      <c r="AT187">
        <f>'Raw Data'!S180</f>
        <v>1</v>
      </c>
    </row>
    <row r="188" spans="28:46" ht="15">
      <c r="AB188">
        <f>'Raw Data'!A181</f>
        <v>30</v>
      </c>
      <c r="AC188">
        <f>'Raw Data'!B181</f>
        <v>1114</v>
      </c>
      <c r="AD188">
        <f>'Raw Data'!C181</f>
        <v>1</v>
      </c>
      <c r="AE188" t="str">
        <f>'Raw Data'!D181</f>
        <v>Blue</v>
      </c>
      <c r="AF188">
        <f>'Raw Data'!E181</f>
        <v>0</v>
      </c>
      <c r="AG188">
        <f>'Raw Data'!F181</f>
        <v>0</v>
      </c>
      <c r="AH188">
        <f>'Raw Data'!G181</f>
        <v>0</v>
      </c>
      <c r="AI188">
        <f>'Raw Data'!H181</f>
        <v>3</v>
      </c>
      <c r="AJ188">
        <f>'Raw Data'!I181</f>
        <v>2</v>
      </c>
      <c r="AK188">
        <f>'Raw Data'!J181</f>
        <v>1</v>
      </c>
      <c r="AL188">
        <f>'Raw Data'!K181</f>
        <v>0</v>
      </c>
      <c r="AM188">
        <f>'Raw Data'!L181</f>
        <v>2</v>
      </c>
      <c r="AN188">
        <f>'Raw Data'!M181</f>
        <v>1</v>
      </c>
      <c r="AO188">
        <f>'Raw Data'!N181</f>
        <v>0</v>
      </c>
      <c r="AP188">
        <f>'Raw Data'!O181</f>
        <v>0</v>
      </c>
      <c r="AQ188">
        <f>'Raw Data'!P181</f>
        <v>0</v>
      </c>
      <c r="AR188">
        <f>'Raw Data'!Q181</f>
        <v>1</v>
      </c>
      <c r="AS188">
        <f>'Raw Data'!R181</f>
        <v>2</v>
      </c>
      <c r="AT188">
        <f>'Raw Data'!S181</f>
        <v>3</v>
      </c>
    </row>
    <row r="189" spans="28:46" ht="15">
      <c r="AB189">
        <f>'Raw Data'!A182</f>
        <v>30</v>
      </c>
      <c r="AC189">
        <f>'Raw Data'!B182</f>
        <v>2279</v>
      </c>
      <c r="AD189">
        <f>'Raw Data'!C182</f>
        <v>1</v>
      </c>
      <c r="AE189" t="str">
        <f>'Raw Data'!D182</f>
        <v>Blue</v>
      </c>
      <c r="AF189">
        <f>'Raw Data'!E182</f>
        <v>0</v>
      </c>
      <c r="AG189">
        <f>'Raw Data'!F182</f>
        <v>0</v>
      </c>
      <c r="AH189">
        <f>'Raw Data'!G182</f>
        <v>0</v>
      </c>
      <c r="AI189">
        <f>'Raw Data'!H182</f>
        <v>0</v>
      </c>
      <c r="AJ189">
        <f>'Raw Data'!I182</f>
        <v>0</v>
      </c>
      <c r="AK189">
        <f>'Raw Data'!J182</f>
        <v>0</v>
      </c>
      <c r="AL189">
        <f>'Raw Data'!K182</f>
        <v>0</v>
      </c>
      <c r="AM189">
        <f>'Raw Data'!L182</f>
        <v>0</v>
      </c>
      <c r="AN189">
        <f>'Raw Data'!M182</f>
        <v>0</v>
      </c>
      <c r="AO189">
        <f>'Raw Data'!N182</f>
        <v>0</v>
      </c>
      <c r="AP189">
        <f>'Raw Data'!O182</f>
        <v>0</v>
      </c>
      <c r="AQ189">
        <f>'Raw Data'!P182</f>
        <v>0</v>
      </c>
      <c r="AR189">
        <f>'Raw Data'!Q182</f>
        <v>0</v>
      </c>
      <c r="AS189">
        <f>'Raw Data'!R182</f>
        <v>0</v>
      </c>
      <c r="AT189">
        <f>'Raw Data'!S182</f>
        <v>0</v>
      </c>
    </row>
    <row r="190" spans="28:46" ht="15">
      <c r="AB190">
        <f>'Raw Data'!A183</f>
        <v>30</v>
      </c>
      <c r="AC190">
        <f>'Raw Data'!B183</f>
        <v>1249</v>
      </c>
      <c r="AD190">
        <f>'Raw Data'!C183</f>
        <v>1</v>
      </c>
      <c r="AE190" t="str">
        <f>'Raw Data'!D183</f>
        <v>Blue</v>
      </c>
      <c r="AF190">
        <f>'Raw Data'!E183</f>
        <v>0</v>
      </c>
      <c r="AG190">
        <f>'Raw Data'!F183</f>
        <v>0</v>
      </c>
      <c r="AH190">
        <f>'Raw Data'!G183</f>
        <v>0</v>
      </c>
      <c r="AI190">
        <f>'Raw Data'!H183</f>
        <v>1</v>
      </c>
      <c r="AJ190">
        <f>'Raw Data'!I183</f>
        <v>0</v>
      </c>
      <c r="AK190">
        <f>'Raw Data'!J183</f>
        <v>0</v>
      </c>
      <c r="AL190">
        <f>'Raw Data'!K183</f>
        <v>2</v>
      </c>
      <c r="AM190">
        <f>'Raw Data'!L183</f>
        <v>3</v>
      </c>
      <c r="AN190">
        <f>'Raw Data'!M183</f>
        <v>0</v>
      </c>
      <c r="AO190">
        <f>'Raw Data'!N183</f>
        <v>0</v>
      </c>
      <c r="AP190">
        <f>'Raw Data'!O183</f>
        <v>0</v>
      </c>
      <c r="AQ190">
        <f>'Raw Data'!P183</f>
        <v>0</v>
      </c>
      <c r="AR190">
        <f>'Raw Data'!Q183</f>
        <v>0</v>
      </c>
      <c r="AS190">
        <f>'Raw Data'!R183</f>
        <v>3</v>
      </c>
      <c r="AT190">
        <f>'Raw Data'!S183</f>
        <v>0</v>
      </c>
    </row>
    <row r="191" spans="28:46" ht="15">
      <c r="AB191">
        <f>'Raw Data'!A184</f>
        <v>31</v>
      </c>
      <c r="AC191">
        <f>'Raw Data'!B184</f>
        <v>1743</v>
      </c>
      <c r="AD191">
        <f>'Raw Data'!C184</f>
        <v>1</v>
      </c>
      <c r="AE191" t="str">
        <f>'Raw Data'!D184</f>
        <v>Red</v>
      </c>
      <c r="AF191">
        <f>'Raw Data'!E184</f>
        <v>0</v>
      </c>
      <c r="AG191">
        <f>'Raw Data'!F184</f>
        <v>0</v>
      </c>
      <c r="AH191">
        <f>'Raw Data'!G184</f>
        <v>0</v>
      </c>
      <c r="AI191">
        <f>'Raw Data'!H184</f>
        <v>0</v>
      </c>
      <c r="AJ191">
        <f>'Raw Data'!I184</f>
        <v>0</v>
      </c>
      <c r="AK191">
        <f>'Raw Data'!J184</f>
        <v>0</v>
      </c>
      <c r="AL191">
        <f>'Raw Data'!K184</f>
        <v>0</v>
      </c>
      <c r="AM191">
        <f>'Raw Data'!L184</f>
        <v>0</v>
      </c>
      <c r="AN191">
        <f>'Raw Data'!M184</f>
        <v>2</v>
      </c>
      <c r="AO191">
        <f>'Raw Data'!N184</f>
        <v>0</v>
      </c>
      <c r="AP191">
        <f>'Raw Data'!O184</f>
        <v>0</v>
      </c>
      <c r="AQ191">
        <f>'Raw Data'!P184</f>
        <v>0</v>
      </c>
      <c r="AR191">
        <f>'Raw Data'!Q184</f>
        <v>0</v>
      </c>
      <c r="AS191">
        <f>'Raw Data'!R184</f>
        <v>0</v>
      </c>
      <c r="AT191">
        <f>'Raw Data'!S184</f>
        <v>2</v>
      </c>
    </row>
    <row r="192" spans="28:46" ht="15">
      <c r="AB192">
        <f>'Raw Data'!A185</f>
        <v>31</v>
      </c>
      <c r="AC192">
        <f>'Raw Data'!B185</f>
        <v>451</v>
      </c>
      <c r="AD192">
        <f>'Raw Data'!C185</f>
        <v>1</v>
      </c>
      <c r="AE192" t="str">
        <f>'Raw Data'!D185</f>
        <v>Red</v>
      </c>
      <c r="AF192">
        <f>'Raw Data'!E185</f>
        <v>0</v>
      </c>
      <c r="AG192">
        <f>'Raw Data'!F185</f>
        <v>0</v>
      </c>
      <c r="AH192">
        <f>'Raw Data'!G185</f>
        <v>0</v>
      </c>
      <c r="AI192">
        <f>'Raw Data'!H185</f>
        <v>1</v>
      </c>
      <c r="AJ192">
        <f>'Raw Data'!I185</f>
        <v>0</v>
      </c>
      <c r="AK192">
        <f>'Raw Data'!J185</f>
        <v>1</v>
      </c>
      <c r="AL192">
        <f>'Raw Data'!K185</f>
        <v>2</v>
      </c>
      <c r="AM192">
        <f>'Raw Data'!L185</f>
        <v>2</v>
      </c>
      <c r="AN192">
        <f>'Raw Data'!M185</f>
        <v>2</v>
      </c>
      <c r="AO192">
        <f>'Raw Data'!N185</f>
        <v>0</v>
      </c>
      <c r="AP192">
        <f>'Raw Data'!O185</f>
        <v>0</v>
      </c>
      <c r="AQ192">
        <f>'Raw Data'!P185</f>
        <v>0</v>
      </c>
      <c r="AR192">
        <f>'Raw Data'!Q185</f>
        <v>0</v>
      </c>
      <c r="AS192">
        <f>'Raw Data'!R185</f>
        <v>3</v>
      </c>
      <c r="AT192">
        <f>'Raw Data'!S185</f>
        <v>2</v>
      </c>
    </row>
    <row r="193" spans="28:46" ht="15">
      <c r="AB193">
        <f>'Raw Data'!A186</f>
        <v>31</v>
      </c>
      <c r="AC193">
        <f>'Raw Data'!B186</f>
        <v>63</v>
      </c>
      <c r="AD193">
        <f>'Raw Data'!C186</f>
        <v>1</v>
      </c>
      <c r="AE193" t="str">
        <f>'Raw Data'!D186</f>
        <v>Red</v>
      </c>
      <c r="AF193">
        <f>'Raw Data'!E186</f>
        <v>0</v>
      </c>
      <c r="AG193">
        <f>'Raw Data'!F186</f>
        <v>0</v>
      </c>
      <c r="AH193">
        <f>'Raw Data'!G186</f>
        <v>0</v>
      </c>
      <c r="AI193">
        <f>'Raw Data'!H186</f>
        <v>0</v>
      </c>
      <c r="AJ193">
        <f>'Raw Data'!I186</f>
        <v>0</v>
      </c>
      <c r="AK193">
        <f>'Raw Data'!J186</f>
        <v>0</v>
      </c>
      <c r="AL193">
        <f>'Raw Data'!K186</f>
        <v>0</v>
      </c>
      <c r="AM193">
        <f>'Raw Data'!L186</f>
        <v>0</v>
      </c>
      <c r="AN193">
        <f>'Raw Data'!M186</f>
        <v>0</v>
      </c>
      <c r="AO193">
        <f>'Raw Data'!N186</f>
        <v>0</v>
      </c>
      <c r="AP193">
        <f>'Raw Data'!O186</f>
        <v>0</v>
      </c>
      <c r="AQ193">
        <f>'Raw Data'!P186</f>
        <v>0</v>
      </c>
      <c r="AR193">
        <f>'Raw Data'!Q186</f>
        <v>0</v>
      </c>
      <c r="AS193">
        <f>'Raw Data'!R186</f>
        <v>0</v>
      </c>
      <c r="AT193">
        <f>'Raw Data'!S186</f>
        <v>0</v>
      </c>
    </row>
    <row r="194" spans="28:46" ht="15">
      <c r="AB194">
        <f>'Raw Data'!A187</f>
        <v>31</v>
      </c>
      <c r="AC194">
        <f>'Raw Data'!B187</f>
        <v>2614</v>
      </c>
      <c r="AD194">
        <f>'Raw Data'!C187</f>
        <v>1</v>
      </c>
      <c r="AE194" t="str">
        <f>'Raw Data'!D187</f>
        <v>Blue</v>
      </c>
      <c r="AF194">
        <f>'Raw Data'!E187</f>
        <v>0</v>
      </c>
      <c r="AG194">
        <f>'Raw Data'!F187</f>
        <v>0</v>
      </c>
      <c r="AH194">
        <f>'Raw Data'!G187</f>
        <v>0</v>
      </c>
      <c r="AI194">
        <f>'Raw Data'!H187</f>
        <v>2</v>
      </c>
      <c r="AJ194">
        <f>'Raw Data'!I187</f>
        <v>0</v>
      </c>
      <c r="AK194">
        <f>'Raw Data'!J187</f>
        <v>2</v>
      </c>
      <c r="AL194">
        <f>'Raw Data'!K187</f>
        <v>0</v>
      </c>
      <c r="AM194">
        <f>'Raw Data'!L187</f>
        <v>0</v>
      </c>
      <c r="AN194">
        <f>'Raw Data'!M187</f>
        <v>2</v>
      </c>
      <c r="AO194">
        <f>'Raw Data'!N187</f>
        <v>0</v>
      </c>
      <c r="AP194">
        <f>'Raw Data'!O187</f>
        <v>0</v>
      </c>
      <c r="AQ194">
        <f>'Raw Data'!P187</f>
        <v>2</v>
      </c>
      <c r="AR194">
        <f>'Raw Data'!Q187</f>
        <v>0</v>
      </c>
      <c r="AS194">
        <f>'Raw Data'!R187</f>
        <v>4</v>
      </c>
      <c r="AT194">
        <f>'Raw Data'!S187</f>
        <v>2</v>
      </c>
    </row>
    <row r="195" spans="28:46" ht="15">
      <c r="AB195">
        <f>'Raw Data'!A188</f>
        <v>31</v>
      </c>
      <c r="AC195">
        <f>'Raw Data'!B188</f>
        <v>306</v>
      </c>
      <c r="AD195">
        <f>'Raw Data'!C188</f>
        <v>1</v>
      </c>
      <c r="AE195" t="str">
        <f>'Raw Data'!D188</f>
        <v>Blue</v>
      </c>
      <c r="AF195">
        <f>'Raw Data'!E188</f>
        <v>0</v>
      </c>
      <c r="AG195">
        <f>'Raw Data'!F188</f>
        <v>0</v>
      </c>
      <c r="AH195">
        <f>'Raw Data'!G188</f>
        <v>0</v>
      </c>
      <c r="AI195">
        <f>'Raw Data'!H188</f>
        <v>0</v>
      </c>
      <c r="AJ195">
        <f>'Raw Data'!I188</f>
        <v>0</v>
      </c>
      <c r="AK195">
        <f>'Raw Data'!J188</f>
        <v>0</v>
      </c>
      <c r="AL195">
        <f>'Raw Data'!K188</f>
        <v>0</v>
      </c>
      <c r="AM195">
        <f>'Raw Data'!L188</f>
        <v>0</v>
      </c>
      <c r="AN195">
        <f>'Raw Data'!M188</f>
        <v>2</v>
      </c>
      <c r="AO195">
        <f>'Raw Data'!N188</f>
        <v>0</v>
      </c>
      <c r="AP195">
        <f>'Raw Data'!O188</f>
        <v>0</v>
      </c>
      <c r="AQ195">
        <f>'Raw Data'!P188</f>
        <v>0</v>
      </c>
      <c r="AR195">
        <f>'Raw Data'!Q188</f>
        <v>0</v>
      </c>
      <c r="AS195">
        <f>'Raw Data'!R188</f>
        <v>0</v>
      </c>
      <c r="AT195">
        <f>'Raw Data'!S188</f>
        <v>2</v>
      </c>
    </row>
    <row r="196" spans="28:46" ht="15">
      <c r="AB196">
        <f>'Raw Data'!A189</f>
        <v>31</v>
      </c>
      <c r="AC196">
        <f>'Raw Data'!B189</f>
        <v>1317</v>
      </c>
      <c r="AD196">
        <f>'Raw Data'!C189</f>
        <v>1</v>
      </c>
      <c r="AE196" t="str">
        <f>'Raw Data'!D189</f>
        <v>Blue</v>
      </c>
      <c r="AF196">
        <f>'Raw Data'!E189</f>
        <v>0</v>
      </c>
      <c r="AG196">
        <f>'Raw Data'!F189</f>
        <v>0</v>
      </c>
      <c r="AH196">
        <f>'Raw Data'!G189</f>
        <v>0</v>
      </c>
      <c r="AI196">
        <f>'Raw Data'!H189</f>
        <v>0</v>
      </c>
      <c r="AJ196">
        <f>'Raw Data'!I189</f>
        <v>0</v>
      </c>
      <c r="AK196">
        <f>'Raw Data'!J189</f>
        <v>0</v>
      </c>
      <c r="AL196">
        <f>'Raw Data'!K189</f>
        <v>1</v>
      </c>
      <c r="AM196">
        <f>'Raw Data'!L189</f>
        <v>3</v>
      </c>
      <c r="AN196">
        <f>'Raw Data'!M189</f>
        <v>1</v>
      </c>
      <c r="AO196">
        <f>'Raw Data'!N189</f>
        <v>0</v>
      </c>
      <c r="AP196">
        <f>'Raw Data'!O189</f>
        <v>0</v>
      </c>
      <c r="AQ196">
        <f>'Raw Data'!P189</f>
        <v>0</v>
      </c>
      <c r="AR196">
        <f>'Raw Data'!Q189</f>
        <v>0</v>
      </c>
      <c r="AS196">
        <f>'Raw Data'!R189</f>
        <v>3</v>
      </c>
      <c r="AT196">
        <f>'Raw Data'!S189</f>
        <v>1</v>
      </c>
    </row>
    <row r="197" spans="28:46" ht="15">
      <c r="AB197">
        <f>'Raw Data'!A190</f>
        <v>32</v>
      </c>
      <c r="AC197">
        <f>'Raw Data'!B190</f>
        <v>1249</v>
      </c>
      <c r="AD197">
        <f>'Raw Data'!C190</f>
        <v>1</v>
      </c>
      <c r="AE197" t="str">
        <f>'Raw Data'!D190</f>
        <v>Red</v>
      </c>
      <c r="AF197">
        <f>'Raw Data'!E190</f>
        <v>0</v>
      </c>
      <c r="AG197">
        <f>'Raw Data'!F190</f>
        <v>0</v>
      </c>
      <c r="AH197">
        <f>'Raw Data'!G190</f>
        <v>0</v>
      </c>
      <c r="AI197">
        <f>'Raw Data'!H190</f>
        <v>0</v>
      </c>
      <c r="AJ197">
        <f>'Raw Data'!I190</f>
        <v>0</v>
      </c>
      <c r="AK197">
        <f>'Raw Data'!J190</f>
        <v>0</v>
      </c>
      <c r="AL197">
        <f>'Raw Data'!K190</f>
        <v>1</v>
      </c>
      <c r="AM197">
        <f>'Raw Data'!L190</f>
        <v>0</v>
      </c>
      <c r="AN197">
        <f>'Raw Data'!M190</f>
        <v>0</v>
      </c>
      <c r="AO197">
        <f>'Raw Data'!N190</f>
        <v>0</v>
      </c>
      <c r="AP197">
        <f>'Raw Data'!O190</f>
        <v>0</v>
      </c>
      <c r="AQ197">
        <f>'Raw Data'!P190</f>
        <v>0</v>
      </c>
      <c r="AR197">
        <f>'Raw Data'!Q190</f>
        <v>0</v>
      </c>
      <c r="AS197">
        <f>'Raw Data'!R190</f>
        <v>0</v>
      </c>
      <c r="AT197">
        <f>'Raw Data'!S190</f>
        <v>0</v>
      </c>
    </row>
    <row r="198" spans="28:46" ht="15">
      <c r="AB198">
        <f>'Raw Data'!A191</f>
        <v>32</v>
      </c>
      <c r="AC198">
        <f>'Raw Data'!B191</f>
        <v>1038</v>
      </c>
      <c r="AD198">
        <f>'Raw Data'!C191</f>
        <v>1</v>
      </c>
      <c r="AE198" t="str">
        <f>'Raw Data'!D191</f>
        <v>Red</v>
      </c>
      <c r="AF198">
        <f>'Raw Data'!E191</f>
        <v>0</v>
      </c>
      <c r="AG198">
        <f>'Raw Data'!F191</f>
        <v>0</v>
      </c>
      <c r="AH198">
        <f>'Raw Data'!G191</f>
        <v>0</v>
      </c>
      <c r="AI198">
        <f>'Raw Data'!H191</f>
        <v>0</v>
      </c>
      <c r="AJ198">
        <f>'Raw Data'!I191</f>
        <v>0</v>
      </c>
      <c r="AK198">
        <f>'Raw Data'!J191</f>
        <v>0</v>
      </c>
      <c r="AL198">
        <f>'Raw Data'!K191</f>
        <v>4</v>
      </c>
      <c r="AM198">
        <f>'Raw Data'!L191</f>
        <v>2</v>
      </c>
      <c r="AN198">
        <f>'Raw Data'!M191</f>
        <v>0</v>
      </c>
      <c r="AO198">
        <f>'Raw Data'!N191</f>
        <v>0</v>
      </c>
      <c r="AP198">
        <f>'Raw Data'!O191</f>
        <v>0</v>
      </c>
      <c r="AQ198">
        <f>'Raw Data'!P191</f>
        <v>0</v>
      </c>
      <c r="AR198">
        <f>'Raw Data'!Q191</f>
        <v>0</v>
      </c>
      <c r="AS198">
        <f>'Raw Data'!R191</f>
        <v>2</v>
      </c>
      <c r="AT198">
        <f>'Raw Data'!S191</f>
        <v>0</v>
      </c>
    </row>
    <row r="199" spans="28:46" ht="15">
      <c r="AB199">
        <f>'Raw Data'!A192</f>
        <v>32</v>
      </c>
      <c r="AC199">
        <f>'Raw Data'!B192</f>
        <v>1990</v>
      </c>
      <c r="AD199">
        <f>'Raw Data'!C192</f>
        <v>1</v>
      </c>
      <c r="AE199" t="str">
        <f>'Raw Data'!D192</f>
        <v>Red</v>
      </c>
      <c r="AF199">
        <f>'Raw Data'!E192</f>
        <v>0</v>
      </c>
      <c r="AG199">
        <f>'Raw Data'!F192</f>
        <v>0</v>
      </c>
      <c r="AH199">
        <f>'Raw Data'!G192</f>
        <v>0</v>
      </c>
      <c r="AI199">
        <f>'Raw Data'!H192</f>
        <v>0</v>
      </c>
      <c r="AJ199">
        <f>'Raw Data'!I192</f>
        <v>0</v>
      </c>
      <c r="AK199">
        <f>'Raw Data'!J192</f>
        <v>0</v>
      </c>
      <c r="AL199">
        <f>'Raw Data'!K192</f>
        <v>7</v>
      </c>
      <c r="AM199">
        <f>'Raw Data'!L192</f>
        <v>0</v>
      </c>
      <c r="AN199">
        <f>'Raw Data'!M192</f>
        <v>1</v>
      </c>
      <c r="AO199">
        <f>'Raw Data'!N192</f>
        <v>0</v>
      </c>
      <c r="AP199">
        <f>'Raw Data'!O192</f>
        <v>0</v>
      </c>
      <c r="AQ199">
        <f>'Raw Data'!P192</f>
        <v>0</v>
      </c>
      <c r="AR199">
        <f>'Raw Data'!Q192</f>
        <v>0</v>
      </c>
      <c r="AS199">
        <f>'Raw Data'!R192</f>
        <v>0</v>
      </c>
      <c r="AT199">
        <f>'Raw Data'!S192</f>
        <v>1</v>
      </c>
    </row>
    <row r="200" spans="28:46" ht="15">
      <c r="AB200">
        <f>'Raw Data'!A193</f>
        <v>32</v>
      </c>
      <c r="AC200">
        <f>'Raw Data'!B193</f>
        <v>2252</v>
      </c>
      <c r="AD200">
        <f>'Raw Data'!C193</f>
        <v>1</v>
      </c>
      <c r="AE200" t="str">
        <f>'Raw Data'!D193</f>
        <v>Blue</v>
      </c>
      <c r="AF200">
        <f>'Raw Data'!E193</f>
        <v>0</v>
      </c>
      <c r="AG200">
        <f>'Raw Data'!F193</f>
        <v>0</v>
      </c>
      <c r="AH200">
        <f>'Raw Data'!G193</f>
        <v>0</v>
      </c>
      <c r="AI200">
        <f>'Raw Data'!H193</f>
        <v>0</v>
      </c>
      <c r="AJ200">
        <f>'Raw Data'!I193</f>
        <v>0</v>
      </c>
      <c r="AK200">
        <f>'Raw Data'!J193</f>
        <v>0</v>
      </c>
      <c r="AL200">
        <f>'Raw Data'!K193</f>
        <v>1</v>
      </c>
      <c r="AM200">
        <f>'Raw Data'!L193</f>
        <v>3</v>
      </c>
      <c r="AN200">
        <f>'Raw Data'!M193</f>
        <v>0</v>
      </c>
      <c r="AO200">
        <f>'Raw Data'!N193</f>
        <v>0</v>
      </c>
      <c r="AP200">
        <f>'Raw Data'!O193</f>
        <v>0</v>
      </c>
      <c r="AQ200">
        <f>'Raw Data'!P193</f>
        <v>0</v>
      </c>
      <c r="AR200">
        <f>'Raw Data'!Q193</f>
        <v>0</v>
      </c>
      <c r="AS200">
        <f>'Raw Data'!R193</f>
        <v>3</v>
      </c>
      <c r="AT200">
        <f>'Raw Data'!S193</f>
        <v>0</v>
      </c>
    </row>
    <row r="201" spans="28:46" ht="15">
      <c r="AB201">
        <f>'Raw Data'!A194</f>
        <v>32</v>
      </c>
      <c r="AC201">
        <f>'Raw Data'!B194</f>
        <v>2641</v>
      </c>
      <c r="AD201">
        <f>'Raw Data'!C194</f>
        <v>1</v>
      </c>
      <c r="AE201" t="str">
        <f>'Raw Data'!D194</f>
        <v>Blue</v>
      </c>
      <c r="AF201">
        <f>'Raw Data'!E194</f>
        <v>0</v>
      </c>
      <c r="AG201">
        <f>'Raw Data'!F194</f>
        <v>0</v>
      </c>
      <c r="AH201">
        <f>'Raw Data'!G194</f>
        <v>0</v>
      </c>
      <c r="AI201">
        <f>'Raw Data'!H194</f>
        <v>0</v>
      </c>
      <c r="AJ201">
        <f>'Raw Data'!I194</f>
        <v>0</v>
      </c>
      <c r="AK201">
        <f>'Raw Data'!J194</f>
        <v>0</v>
      </c>
      <c r="AL201">
        <f>'Raw Data'!K194</f>
        <v>1</v>
      </c>
      <c r="AM201">
        <f>'Raw Data'!L194</f>
        <v>0</v>
      </c>
      <c r="AN201">
        <f>'Raw Data'!M194</f>
        <v>1</v>
      </c>
      <c r="AO201">
        <f>'Raw Data'!N194</f>
        <v>0</v>
      </c>
      <c r="AP201">
        <f>'Raw Data'!O194</f>
        <v>0</v>
      </c>
      <c r="AQ201">
        <f>'Raw Data'!P194</f>
        <v>0</v>
      </c>
      <c r="AR201">
        <f>'Raw Data'!Q194</f>
        <v>0</v>
      </c>
      <c r="AS201">
        <f>'Raw Data'!R194</f>
        <v>0</v>
      </c>
      <c r="AT201">
        <f>'Raw Data'!S194</f>
        <v>1</v>
      </c>
    </row>
    <row r="202" spans="28:46" ht="15">
      <c r="AB202">
        <f>'Raw Data'!A195</f>
        <v>32</v>
      </c>
      <c r="AC202">
        <f>'Raw Data'!B195</f>
        <v>2618</v>
      </c>
      <c r="AD202">
        <f>'Raw Data'!C195</f>
        <v>1</v>
      </c>
      <c r="AE202" t="str">
        <f>'Raw Data'!D195</f>
        <v>Blue</v>
      </c>
      <c r="AF202">
        <f>'Raw Data'!E195</f>
        <v>0</v>
      </c>
      <c r="AG202">
        <f>'Raw Data'!F195</f>
        <v>0</v>
      </c>
      <c r="AH202">
        <f>'Raw Data'!G195</f>
        <v>0</v>
      </c>
      <c r="AI202">
        <f>'Raw Data'!H195</f>
        <v>0</v>
      </c>
      <c r="AJ202">
        <f>'Raw Data'!I195</f>
        <v>0</v>
      </c>
      <c r="AK202">
        <f>'Raw Data'!J195</f>
        <v>0</v>
      </c>
      <c r="AL202">
        <f>'Raw Data'!K195</f>
        <v>0</v>
      </c>
      <c r="AM202">
        <f>'Raw Data'!L195</f>
        <v>0</v>
      </c>
      <c r="AN202">
        <f>'Raw Data'!M195</f>
        <v>0</v>
      </c>
      <c r="AO202">
        <f>'Raw Data'!N195</f>
        <v>0</v>
      </c>
      <c r="AP202">
        <f>'Raw Data'!O195</f>
        <v>0</v>
      </c>
      <c r="AQ202">
        <f>'Raw Data'!P195</f>
        <v>0</v>
      </c>
      <c r="AR202">
        <f>'Raw Data'!Q195</f>
        <v>0</v>
      </c>
      <c r="AS202">
        <f>'Raw Data'!R195</f>
        <v>0</v>
      </c>
      <c r="AT202">
        <f>'Raw Data'!S195</f>
        <v>0</v>
      </c>
    </row>
    <row r="203" spans="28:46" ht="15">
      <c r="AB203">
        <f>'Raw Data'!A196</f>
        <v>33</v>
      </c>
      <c r="AC203">
        <f>'Raw Data'!B196</f>
        <v>1279</v>
      </c>
      <c r="AD203">
        <f>'Raw Data'!C196</f>
        <v>1</v>
      </c>
      <c r="AE203" t="str">
        <f>'Raw Data'!D196</f>
        <v>Red</v>
      </c>
      <c r="AF203">
        <f>'Raw Data'!E196</f>
        <v>0</v>
      </c>
      <c r="AG203">
        <f>'Raw Data'!F196</f>
        <v>0</v>
      </c>
      <c r="AH203">
        <f>'Raw Data'!G196</f>
        <v>0</v>
      </c>
      <c r="AI203">
        <f>'Raw Data'!H196</f>
        <v>0</v>
      </c>
      <c r="AJ203">
        <f>'Raw Data'!I196</f>
        <v>0</v>
      </c>
      <c r="AK203">
        <f>'Raw Data'!J196</f>
        <v>0</v>
      </c>
      <c r="AL203">
        <f>'Raw Data'!K196</f>
        <v>0</v>
      </c>
      <c r="AM203">
        <f>'Raw Data'!L196</f>
        <v>1</v>
      </c>
      <c r="AN203">
        <f>'Raw Data'!M196</f>
        <v>5</v>
      </c>
      <c r="AO203">
        <f>'Raw Data'!N196</f>
        <v>0</v>
      </c>
      <c r="AP203">
        <f>'Raw Data'!O196</f>
        <v>0</v>
      </c>
      <c r="AQ203">
        <f>'Raw Data'!P196</f>
        <v>0</v>
      </c>
      <c r="AR203">
        <f>'Raw Data'!Q196</f>
        <v>0</v>
      </c>
      <c r="AS203">
        <f>'Raw Data'!R196</f>
        <v>1</v>
      </c>
      <c r="AT203">
        <f>'Raw Data'!S196</f>
        <v>5</v>
      </c>
    </row>
    <row r="204" spans="28:46" ht="15">
      <c r="AB204">
        <f>'Raw Data'!A197</f>
        <v>33</v>
      </c>
      <c r="AC204">
        <f>'Raw Data'!B197</f>
        <v>63</v>
      </c>
      <c r="AD204">
        <f>'Raw Data'!C197</f>
        <v>1</v>
      </c>
      <c r="AE204" t="str">
        <f>'Raw Data'!D197</f>
        <v>Red</v>
      </c>
      <c r="AF204">
        <f>'Raw Data'!E197</f>
        <v>0</v>
      </c>
      <c r="AG204">
        <f>'Raw Data'!F197</f>
        <v>0</v>
      </c>
      <c r="AH204">
        <f>'Raw Data'!G197</f>
        <v>0</v>
      </c>
      <c r="AI204">
        <f>'Raw Data'!H197</f>
        <v>1</v>
      </c>
      <c r="AJ204">
        <f>'Raw Data'!I197</f>
        <v>1</v>
      </c>
      <c r="AK204">
        <f>'Raw Data'!J197</f>
        <v>0</v>
      </c>
      <c r="AL204">
        <f>'Raw Data'!K197</f>
        <v>0</v>
      </c>
      <c r="AM204">
        <f>'Raw Data'!L197</f>
        <v>7</v>
      </c>
      <c r="AN204">
        <f>'Raw Data'!M197</f>
        <v>0</v>
      </c>
      <c r="AO204">
        <f>'Raw Data'!N197</f>
        <v>0</v>
      </c>
      <c r="AP204">
        <f>'Raw Data'!O197</f>
        <v>0</v>
      </c>
      <c r="AQ204">
        <f>'Raw Data'!P197</f>
        <v>0</v>
      </c>
      <c r="AR204">
        <f>'Raw Data'!Q197</f>
        <v>0</v>
      </c>
      <c r="AS204">
        <f>'Raw Data'!R197</f>
        <v>7</v>
      </c>
      <c r="AT204">
        <f>'Raw Data'!S197</f>
        <v>1</v>
      </c>
    </row>
    <row r="205" spans="28:46" ht="15">
      <c r="AB205">
        <f>'Raw Data'!A198</f>
        <v>33</v>
      </c>
      <c r="AC205">
        <f>'Raw Data'!B198</f>
        <v>3062</v>
      </c>
      <c r="AD205">
        <f>'Raw Data'!C198</f>
        <v>1</v>
      </c>
      <c r="AE205" t="str">
        <f>'Raw Data'!D198</f>
        <v>Red</v>
      </c>
      <c r="AF205">
        <f>'Raw Data'!E198</f>
        <v>0</v>
      </c>
      <c r="AG205">
        <f>'Raw Data'!F198</f>
        <v>0</v>
      </c>
      <c r="AH205">
        <f>'Raw Data'!G198</f>
        <v>0</v>
      </c>
      <c r="AI205">
        <f>'Raw Data'!H198</f>
        <v>0</v>
      </c>
      <c r="AJ205">
        <f>'Raw Data'!I198</f>
        <v>0</v>
      </c>
      <c r="AK205">
        <f>'Raw Data'!J198</f>
        <v>0</v>
      </c>
      <c r="AL205">
        <f>'Raw Data'!K198</f>
        <v>1</v>
      </c>
      <c r="AM205">
        <f>'Raw Data'!L198</f>
        <v>1</v>
      </c>
      <c r="AN205">
        <f>'Raw Data'!M198</f>
        <v>0</v>
      </c>
      <c r="AO205">
        <f>'Raw Data'!N198</f>
        <v>0</v>
      </c>
      <c r="AP205">
        <f>'Raw Data'!O198</f>
        <v>0</v>
      </c>
      <c r="AQ205">
        <f>'Raw Data'!P198</f>
        <v>0</v>
      </c>
      <c r="AR205">
        <f>'Raw Data'!Q198</f>
        <v>0</v>
      </c>
      <c r="AS205">
        <f>'Raw Data'!R198</f>
        <v>1</v>
      </c>
      <c r="AT205">
        <f>'Raw Data'!S198</f>
        <v>0</v>
      </c>
    </row>
    <row r="206" spans="28:46" ht="15">
      <c r="AB206">
        <f>'Raw Data'!A199</f>
        <v>33</v>
      </c>
      <c r="AC206">
        <f>'Raw Data'!B199</f>
        <v>3260</v>
      </c>
      <c r="AD206">
        <f>'Raw Data'!C199</f>
        <v>1</v>
      </c>
      <c r="AE206" t="str">
        <f>'Raw Data'!D199</f>
        <v>Blue</v>
      </c>
      <c r="AF206">
        <f>'Raw Data'!E199</f>
        <v>0</v>
      </c>
      <c r="AG206">
        <f>'Raw Data'!F199</f>
        <v>0</v>
      </c>
      <c r="AH206">
        <f>'Raw Data'!G199</f>
        <v>0</v>
      </c>
      <c r="AI206">
        <f>'Raw Data'!H199</f>
        <v>0</v>
      </c>
      <c r="AJ206">
        <f>'Raw Data'!I199</f>
        <v>0</v>
      </c>
      <c r="AK206">
        <f>'Raw Data'!J199</f>
        <v>0</v>
      </c>
      <c r="AL206">
        <f>'Raw Data'!K199</f>
        <v>0</v>
      </c>
      <c r="AM206">
        <f>'Raw Data'!L199</f>
        <v>1</v>
      </c>
      <c r="AN206">
        <f>'Raw Data'!M199</f>
        <v>0</v>
      </c>
      <c r="AO206">
        <f>'Raw Data'!N199</f>
        <v>0</v>
      </c>
      <c r="AP206">
        <f>'Raw Data'!O199</f>
        <v>0</v>
      </c>
      <c r="AQ206">
        <f>'Raw Data'!P199</f>
        <v>0</v>
      </c>
      <c r="AR206">
        <f>'Raw Data'!Q199</f>
        <v>0</v>
      </c>
      <c r="AS206">
        <f>'Raw Data'!R199</f>
        <v>1</v>
      </c>
      <c r="AT206">
        <f>'Raw Data'!S199</f>
        <v>0</v>
      </c>
    </row>
    <row r="207" spans="28:46" ht="15">
      <c r="AB207">
        <f>'Raw Data'!A200</f>
        <v>33</v>
      </c>
      <c r="AC207">
        <f>'Raw Data'!B200</f>
        <v>433</v>
      </c>
      <c r="AD207">
        <f>'Raw Data'!C200</f>
        <v>1</v>
      </c>
      <c r="AE207" t="str">
        <f>'Raw Data'!D200</f>
        <v>Blue</v>
      </c>
      <c r="AF207">
        <f>'Raw Data'!E200</f>
        <v>0</v>
      </c>
      <c r="AG207">
        <f>'Raw Data'!F200</f>
        <v>0</v>
      </c>
      <c r="AH207">
        <f>'Raw Data'!G200</f>
        <v>0</v>
      </c>
      <c r="AI207">
        <f>'Raw Data'!H200</f>
        <v>0</v>
      </c>
      <c r="AJ207">
        <f>'Raw Data'!I200</f>
        <v>0</v>
      </c>
      <c r="AK207">
        <f>'Raw Data'!J200</f>
        <v>0</v>
      </c>
      <c r="AL207">
        <f>'Raw Data'!K200</f>
        <v>1</v>
      </c>
      <c r="AM207">
        <f>'Raw Data'!L200</f>
        <v>1</v>
      </c>
      <c r="AN207">
        <f>'Raw Data'!M200</f>
        <v>2</v>
      </c>
      <c r="AO207">
        <f>'Raw Data'!N200</f>
        <v>0</v>
      </c>
      <c r="AP207">
        <f>'Raw Data'!O200</f>
        <v>0</v>
      </c>
      <c r="AQ207">
        <f>'Raw Data'!P200</f>
        <v>0</v>
      </c>
      <c r="AR207">
        <f>'Raw Data'!Q200</f>
        <v>0</v>
      </c>
      <c r="AS207">
        <f>'Raw Data'!R200</f>
        <v>1</v>
      </c>
      <c r="AT207">
        <f>'Raw Data'!S200</f>
        <v>2</v>
      </c>
    </row>
    <row r="208" spans="28:46" ht="15">
      <c r="AB208">
        <f>'Raw Data'!A201</f>
        <v>33</v>
      </c>
      <c r="AC208">
        <f>'Raw Data'!B201</f>
        <v>1503</v>
      </c>
      <c r="AD208">
        <f>'Raw Data'!C201</f>
        <v>1</v>
      </c>
      <c r="AE208" t="str">
        <f>'Raw Data'!D201</f>
        <v>Blue</v>
      </c>
      <c r="AF208">
        <f>'Raw Data'!E201</f>
        <v>0</v>
      </c>
      <c r="AG208">
        <f>'Raw Data'!F201</f>
        <v>0</v>
      </c>
      <c r="AH208">
        <f>'Raw Data'!G201</f>
        <v>0</v>
      </c>
      <c r="AI208">
        <f>'Raw Data'!H201</f>
        <v>0</v>
      </c>
      <c r="AJ208">
        <f>'Raw Data'!I201</f>
        <v>0</v>
      </c>
      <c r="AK208">
        <f>'Raw Data'!J201</f>
        <v>0</v>
      </c>
      <c r="AL208">
        <f>'Raw Data'!K201</f>
        <v>0</v>
      </c>
      <c r="AM208">
        <f>'Raw Data'!L201</f>
        <v>1</v>
      </c>
      <c r="AN208">
        <f>'Raw Data'!M201</f>
        <v>1</v>
      </c>
      <c r="AO208">
        <f>'Raw Data'!N201</f>
        <v>0</v>
      </c>
      <c r="AP208">
        <f>'Raw Data'!O201</f>
        <v>0</v>
      </c>
      <c r="AQ208">
        <f>'Raw Data'!P201</f>
        <v>0</v>
      </c>
      <c r="AR208">
        <f>'Raw Data'!Q201</f>
        <v>0</v>
      </c>
      <c r="AS208">
        <f>'Raw Data'!R201</f>
        <v>1</v>
      </c>
      <c r="AT208">
        <f>'Raw Data'!S201</f>
        <v>1</v>
      </c>
    </row>
    <row r="209" spans="28:46" ht="15">
      <c r="AB209">
        <f>'Raw Data'!A202</f>
        <v>34</v>
      </c>
      <c r="AC209">
        <f>'Raw Data'!B202</f>
        <v>2614</v>
      </c>
      <c r="AD209">
        <f>'Raw Data'!C202</f>
        <v>1</v>
      </c>
      <c r="AE209" t="str">
        <f>'Raw Data'!D202</f>
        <v>Red</v>
      </c>
      <c r="AF209">
        <f>'Raw Data'!E202</f>
        <v>0</v>
      </c>
      <c r="AG209">
        <f>'Raw Data'!F202</f>
        <v>0</v>
      </c>
      <c r="AH209">
        <f>'Raw Data'!G202</f>
        <v>0</v>
      </c>
      <c r="AI209">
        <f>'Raw Data'!H202</f>
        <v>1</v>
      </c>
      <c r="AJ209">
        <f>'Raw Data'!I202</f>
        <v>1</v>
      </c>
      <c r="AK209">
        <f>'Raw Data'!J202</f>
        <v>0</v>
      </c>
      <c r="AL209">
        <f>'Raw Data'!K202</f>
        <v>0</v>
      </c>
      <c r="AM209">
        <f>'Raw Data'!L202</f>
        <v>0</v>
      </c>
      <c r="AN209">
        <f>'Raw Data'!M202</f>
        <v>3</v>
      </c>
      <c r="AO209">
        <f>'Raw Data'!N202</f>
        <v>0</v>
      </c>
      <c r="AP209">
        <f>'Raw Data'!O202</f>
        <v>0</v>
      </c>
      <c r="AQ209">
        <f>'Raw Data'!P202</f>
        <v>0</v>
      </c>
      <c r="AR209">
        <f>'Raw Data'!Q202</f>
        <v>0</v>
      </c>
      <c r="AS209">
        <f>'Raw Data'!R202</f>
        <v>0</v>
      </c>
      <c r="AT209">
        <f>'Raw Data'!S202</f>
        <v>4</v>
      </c>
    </row>
    <row r="210" spans="28:46" ht="15">
      <c r="AB210">
        <f>'Raw Data'!A203</f>
        <v>34</v>
      </c>
      <c r="AC210">
        <f>'Raw Data'!B203</f>
        <v>3193</v>
      </c>
      <c r="AD210">
        <f>'Raw Data'!C203</f>
        <v>1</v>
      </c>
      <c r="AE210" t="str">
        <f>'Raw Data'!D203</f>
        <v>Red</v>
      </c>
      <c r="AF210">
        <f>'Raw Data'!E203</f>
        <v>0</v>
      </c>
      <c r="AG210">
        <f>'Raw Data'!F203</f>
        <v>0</v>
      </c>
      <c r="AH210">
        <f>'Raw Data'!G203</f>
        <v>0</v>
      </c>
      <c r="AI210">
        <f>'Raw Data'!H203</f>
        <v>0</v>
      </c>
      <c r="AJ210">
        <f>'Raw Data'!I203</f>
        <v>0</v>
      </c>
      <c r="AK210">
        <f>'Raw Data'!J203</f>
        <v>0</v>
      </c>
      <c r="AL210">
        <f>'Raw Data'!K203</f>
        <v>0</v>
      </c>
      <c r="AM210">
        <f>'Raw Data'!L203</f>
        <v>0</v>
      </c>
      <c r="AN210">
        <f>'Raw Data'!M203</f>
        <v>3</v>
      </c>
      <c r="AO210">
        <f>'Raw Data'!N203</f>
        <v>0</v>
      </c>
      <c r="AP210">
        <f>'Raw Data'!O203</f>
        <v>0</v>
      </c>
      <c r="AQ210">
        <f>'Raw Data'!P203</f>
        <v>0</v>
      </c>
      <c r="AR210">
        <f>'Raw Data'!Q203</f>
        <v>1</v>
      </c>
      <c r="AS210">
        <f>'Raw Data'!R203</f>
        <v>-1</v>
      </c>
      <c r="AT210">
        <f>'Raw Data'!S203</f>
        <v>3</v>
      </c>
    </row>
    <row r="211" spans="28:46" ht="15">
      <c r="AB211">
        <f>'Raw Data'!A204</f>
        <v>34</v>
      </c>
      <c r="AC211">
        <f>'Raw Data'!B204</f>
        <v>2051</v>
      </c>
      <c r="AD211">
        <f>'Raw Data'!C204</f>
        <v>1</v>
      </c>
      <c r="AE211" t="str">
        <f>'Raw Data'!D204</f>
        <v>Red</v>
      </c>
      <c r="AF211">
        <f>'Raw Data'!E204</f>
        <v>0</v>
      </c>
      <c r="AG211">
        <f>'Raw Data'!F204</f>
        <v>0</v>
      </c>
      <c r="AH211">
        <f>'Raw Data'!G204</f>
        <v>0</v>
      </c>
      <c r="AI211">
        <f>'Raw Data'!H204</f>
        <v>0</v>
      </c>
      <c r="AJ211">
        <f>'Raw Data'!I204</f>
        <v>0</v>
      </c>
      <c r="AK211">
        <f>'Raw Data'!J204</f>
        <v>0</v>
      </c>
      <c r="AL211">
        <f>'Raw Data'!K204</f>
        <v>6</v>
      </c>
      <c r="AM211">
        <f>'Raw Data'!L204</f>
        <v>4</v>
      </c>
      <c r="AN211">
        <f>'Raw Data'!M204</f>
        <v>0</v>
      </c>
      <c r="AO211">
        <f>'Raw Data'!N204</f>
        <v>0</v>
      </c>
      <c r="AP211">
        <f>'Raw Data'!O204</f>
        <v>0</v>
      </c>
      <c r="AQ211">
        <f>'Raw Data'!P204</f>
        <v>0</v>
      </c>
      <c r="AR211">
        <f>'Raw Data'!Q204</f>
        <v>2</v>
      </c>
      <c r="AS211">
        <f>'Raw Data'!R204</f>
        <v>2</v>
      </c>
      <c r="AT211">
        <f>'Raw Data'!S204</f>
        <v>0</v>
      </c>
    </row>
    <row r="212" spans="28:46" ht="15">
      <c r="AB212">
        <f>'Raw Data'!A205</f>
        <v>34</v>
      </c>
      <c r="AC212">
        <f>'Raw Data'!B205</f>
        <v>3138</v>
      </c>
      <c r="AD212">
        <f>'Raw Data'!C205</f>
        <v>1</v>
      </c>
      <c r="AE212" t="str">
        <f>'Raw Data'!D205</f>
        <v>Blue</v>
      </c>
      <c r="AF212">
        <f>'Raw Data'!E205</f>
        <v>0</v>
      </c>
      <c r="AG212">
        <f>'Raw Data'!F205</f>
        <v>0</v>
      </c>
      <c r="AH212">
        <f>'Raw Data'!G205</f>
        <v>0</v>
      </c>
      <c r="AI212">
        <f>'Raw Data'!H205</f>
        <v>0</v>
      </c>
      <c r="AJ212">
        <f>'Raw Data'!I205</f>
        <v>0</v>
      </c>
      <c r="AK212">
        <f>'Raw Data'!J205</f>
        <v>0</v>
      </c>
      <c r="AL212">
        <f>'Raw Data'!K205</f>
        <v>0</v>
      </c>
      <c r="AM212">
        <f>'Raw Data'!L205</f>
        <v>0</v>
      </c>
      <c r="AN212">
        <f>'Raw Data'!M205</f>
        <v>2</v>
      </c>
      <c r="AO212">
        <f>'Raw Data'!N205</f>
        <v>0</v>
      </c>
      <c r="AP212">
        <f>'Raw Data'!O205</f>
        <v>0</v>
      </c>
      <c r="AQ212">
        <f>'Raw Data'!P205</f>
        <v>0</v>
      </c>
      <c r="AR212">
        <f>'Raw Data'!Q205</f>
        <v>0</v>
      </c>
      <c r="AS212">
        <f>'Raw Data'!R205</f>
        <v>0</v>
      </c>
      <c r="AT212">
        <f>'Raw Data'!S205</f>
        <v>2</v>
      </c>
    </row>
    <row r="213" spans="28:46" ht="15">
      <c r="AB213">
        <f>'Raw Data'!A206</f>
        <v>34</v>
      </c>
      <c r="AC213">
        <f>'Raw Data'!B206</f>
        <v>1317</v>
      </c>
      <c r="AD213">
        <f>'Raw Data'!C206</f>
        <v>1</v>
      </c>
      <c r="AE213" t="str">
        <f>'Raw Data'!D206</f>
        <v>Blue</v>
      </c>
      <c r="AF213">
        <f>'Raw Data'!E206</f>
        <v>0</v>
      </c>
      <c r="AG213">
        <f>'Raw Data'!F206</f>
        <v>0</v>
      </c>
      <c r="AH213">
        <f>'Raw Data'!G206</f>
        <v>1</v>
      </c>
      <c r="AI213">
        <f>'Raw Data'!H206</f>
        <v>0</v>
      </c>
      <c r="AJ213">
        <f>'Raw Data'!I206</f>
        <v>0</v>
      </c>
      <c r="AK213">
        <f>'Raw Data'!J206</f>
        <v>0</v>
      </c>
      <c r="AL213">
        <f>'Raw Data'!K206</f>
        <v>0</v>
      </c>
      <c r="AM213">
        <f>'Raw Data'!L206</f>
        <v>1</v>
      </c>
      <c r="AN213">
        <f>'Raw Data'!M206</f>
        <v>0</v>
      </c>
      <c r="AO213">
        <f>'Raw Data'!N206</f>
        <v>0</v>
      </c>
      <c r="AP213">
        <f>'Raw Data'!O206</f>
        <v>0</v>
      </c>
      <c r="AQ213">
        <f>'Raw Data'!P206</f>
        <v>0</v>
      </c>
      <c r="AR213">
        <f>'Raw Data'!Q206</f>
        <v>0</v>
      </c>
      <c r="AS213">
        <f>'Raw Data'!R206</f>
        <v>1</v>
      </c>
      <c r="AT213">
        <f>'Raw Data'!S206</f>
        <v>0</v>
      </c>
    </row>
    <row r="214" spans="28:46" ht="15">
      <c r="AB214">
        <f>'Raw Data'!A207</f>
        <v>34</v>
      </c>
      <c r="AC214">
        <f>'Raw Data'!B207</f>
        <v>2544</v>
      </c>
      <c r="AD214">
        <f>'Raw Data'!C207</f>
        <v>1</v>
      </c>
      <c r="AE214" t="str">
        <f>'Raw Data'!D207</f>
        <v>Blue</v>
      </c>
      <c r="AF214">
        <f>'Raw Data'!E207</f>
        <v>0</v>
      </c>
      <c r="AG214">
        <f>'Raw Data'!F207</f>
        <v>0</v>
      </c>
      <c r="AH214">
        <f>'Raw Data'!G207</f>
        <v>0</v>
      </c>
      <c r="AI214">
        <f>'Raw Data'!H207</f>
        <v>0</v>
      </c>
      <c r="AJ214">
        <f>'Raw Data'!I207</f>
        <v>0</v>
      </c>
      <c r="AK214">
        <f>'Raw Data'!J207</f>
        <v>0</v>
      </c>
      <c r="AL214">
        <f>'Raw Data'!K207</f>
        <v>1</v>
      </c>
      <c r="AM214">
        <f>'Raw Data'!L207</f>
        <v>0</v>
      </c>
      <c r="AN214">
        <f>'Raw Data'!M207</f>
        <v>0</v>
      </c>
      <c r="AO214">
        <f>'Raw Data'!N207</f>
        <v>0</v>
      </c>
      <c r="AP214">
        <f>'Raw Data'!O207</f>
        <v>0</v>
      </c>
      <c r="AQ214">
        <f>'Raw Data'!P207</f>
        <v>0</v>
      </c>
      <c r="AR214">
        <f>'Raw Data'!Q207</f>
        <v>0</v>
      </c>
      <c r="AS214">
        <f>'Raw Data'!R207</f>
        <v>0</v>
      </c>
      <c r="AT214">
        <f>'Raw Data'!S207</f>
        <v>0</v>
      </c>
    </row>
    <row r="215" spans="28:46" ht="15">
      <c r="AB215">
        <f>'Raw Data'!A208</f>
        <v>35</v>
      </c>
      <c r="AC215">
        <f>'Raw Data'!B208</f>
        <v>222</v>
      </c>
      <c r="AD215">
        <f>'Raw Data'!C208</f>
        <v>1</v>
      </c>
      <c r="AE215" t="str">
        <f>'Raw Data'!D208</f>
        <v>Red</v>
      </c>
      <c r="AF215">
        <f>'Raw Data'!E208</f>
        <v>0</v>
      </c>
      <c r="AG215">
        <f>'Raw Data'!F208</f>
        <v>0</v>
      </c>
      <c r="AH215">
        <f>'Raw Data'!G208</f>
        <v>0</v>
      </c>
      <c r="AI215">
        <f>'Raw Data'!H208</f>
        <v>0</v>
      </c>
      <c r="AJ215">
        <f>'Raw Data'!I208</f>
        <v>0</v>
      </c>
      <c r="AK215">
        <f>'Raw Data'!J208</f>
        <v>0</v>
      </c>
      <c r="AL215">
        <f>'Raw Data'!K208</f>
        <v>3</v>
      </c>
      <c r="AM215">
        <f>'Raw Data'!L208</f>
        <v>2</v>
      </c>
      <c r="AN215">
        <f>'Raw Data'!M208</f>
        <v>0</v>
      </c>
      <c r="AO215">
        <f>'Raw Data'!N208</f>
        <v>0</v>
      </c>
      <c r="AP215">
        <f>'Raw Data'!O208</f>
        <v>0</v>
      </c>
      <c r="AQ215">
        <f>'Raw Data'!P208</f>
        <v>2</v>
      </c>
      <c r="AR215">
        <f>'Raw Data'!Q208</f>
        <v>0</v>
      </c>
      <c r="AS215">
        <f>'Raw Data'!R208</f>
        <v>4</v>
      </c>
      <c r="AT215">
        <f>'Raw Data'!S208</f>
        <v>0</v>
      </c>
    </row>
    <row r="216" spans="28:46" ht="15">
      <c r="AB216">
        <f>'Raw Data'!A209</f>
        <v>35</v>
      </c>
      <c r="AC216">
        <f>'Raw Data'!B209</f>
        <v>1114</v>
      </c>
      <c r="AD216">
        <f>'Raw Data'!C209</f>
        <v>1</v>
      </c>
      <c r="AE216" t="str">
        <f>'Raw Data'!D209</f>
        <v>Red</v>
      </c>
      <c r="AF216">
        <f>'Raw Data'!E209</f>
        <v>0</v>
      </c>
      <c r="AG216">
        <f>'Raw Data'!F209</f>
        <v>0</v>
      </c>
      <c r="AH216">
        <f>'Raw Data'!G209</f>
        <v>0</v>
      </c>
      <c r="AI216">
        <f>'Raw Data'!H209</f>
        <v>3</v>
      </c>
      <c r="AJ216">
        <f>'Raw Data'!I209</f>
        <v>2</v>
      </c>
      <c r="AK216">
        <f>'Raw Data'!J209</f>
        <v>1</v>
      </c>
      <c r="AL216">
        <f>'Raw Data'!K209</f>
        <v>0</v>
      </c>
      <c r="AM216">
        <f>'Raw Data'!L209</f>
        <v>4</v>
      </c>
      <c r="AN216">
        <f>'Raw Data'!M209</f>
        <v>5</v>
      </c>
      <c r="AO216">
        <f>'Raw Data'!N209</f>
        <v>0</v>
      </c>
      <c r="AP216">
        <f>'Raw Data'!O209</f>
        <v>0</v>
      </c>
      <c r="AQ216">
        <f>'Raw Data'!P209</f>
        <v>2</v>
      </c>
      <c r="AR216">
        <f>'Raw Data'!Q209</f>
        <v>0</v>
      </c>
      <c r="AS216">
        <f>'Raw Data'!R209</f>
        <v>7</v>
      </c>
      <c r="AT216">
        <f>'Raw Data'!S209</f>
        <v>7</v>
      </c>
    </row>
    <row r="217" spans="28:46" ht="15">
      <c r="AB217">
        <f>'Raw Data'!A210</f>
        <v>35</v>
      </c>
      <c r="AC217">
        <f>'Raw Data'!B210</f>
        <v>128</v>
      </c>
      <c r="AD217">
        <f>'Raw Data'!C210</f>
        <v>1</v>
      </c>
      <c r="AE217" t="str">
        <f>'Raw Data'!D210</f>
        <v>Red</v>
      </c>
      <c r="AF217">
        <f>'Raw Data'!E210</f>
        <v>0</v>
      </c>
      <c r="AG217">
        <f>'Raw Data'!F210</f>
        <v>0</v>
      </c>
      <c r="AH217">
        <f>'Raw Data'!G210</f>
        <v>0</v>
      </c>
      <c r="AI217">
        <f>'Raw Data'!H210</f>
        <v>0</v>
      </c>
      <c r="AJ217">
        <f>'Raw Data'!I210</f>
        <v>0</v>
      </c>
      <c r="AK217">
        <f>'Raw Data'!J210</f>
        <v>0</v>
      </c>
      <c r="AL217">
        <f>'Raw Data'!K210</f>
        <v>0</v>
      </c>
      <c r="AM217">
        <f>'Raw Data'!L210</f>
        <v>0</v>
      </c>
      <c r="AN217">
        <f>'Raw Data'!M210</f>
        <v>0</v>
      </c>
      <c r="AO217">
        <f>'Raw Data'!N210</f>
        <v>0</v>
      </c>
      <c r="AP217">
        <f>'Raw Data'!O210</f>
        <v>0</v>
      </c>
      <c r="AQ217">
        <f>'Raw Data'!P210</f>
        <v>0</v>
      </c>
      <c r="AR217">
        <f>'Raw Data'!Q210</f>
        <v>0</v>
      </c>
      <c r="AS217">
        <f>'Raw Data'!R210</f>
        <v>0</v>
      </c>
      <c r="AT217">
        <f>'Raw Data'!S210</f>
        <v>0</v>
      </c>
    </row>
    <row r="218" spans="28:46" ht="15">
      <c r="AB218">
        <f>'Raw Data'!A211</f>
        <v>35</v>
      </c>
      <c r="AC218">
        <f>'Raw Data'!B211</f>
        <v>337</v>
      </c>
      <c r="AD218">
        <f>'Raw Data'!C211</f>
        <v>1</v>
      </c>
      <c r="AE218" t="str">
        <f>'Raw Data'!D211</f>
        <v>Blue</v>
      </c>
      <c r="AF218">
        <f>'Raw Data'!E211</f>
        <v>0</v>
      </c>
      <c r="AG218">
        <f>'Raw Data'!F211</f>
        <v>0</v>
      </c>
      <c r="AH218">
        <f>'Raw Data'!G211</f>
        <v>0</v>
      </c>
      <c r="AI218">
        <f>'Raw Data'!H211</f>
        <v>0</v>
      </c>
      <c r="AJ218">
        <f>'Raw Data'!I211</f>
        <v>0</v>
      </c>
      <c r="AK218">
        <f>'Raw Data'!J211</f>
        <v>0</v>
      </c>
      <c r="AL218">
        <f>'Raw Data'!K211</f>
        <v>0</v>
      </c>
      <c r="AM218">
        <f>'Raw Data'!L211</f>
        <v>0</v>
      </c>
      <c r="AN218">
        <f>'Raw Data'!M211</f>
        <v>2</v>
      </c>
      <c r="AO218">
        <f>'Raw Data'!N211</f>
        <v>0</v>
      </c>
      <c r="AP218">
        <f>'Raw Data'!O211</f>
        <v>0</v>
      </c>
      <c r="AQ218">
        <f>'Raw Data'!P211</f>
        <v>0</v>
      </c>
      <c r="AR218">
        <f>'Raw Data'!Q211</f>
        <v>0</v>
      </c>
      <c r="AS218">
        <f>'Raw Data'!R211</f>
        <v>0</v>
      </c>
      <c r="AT218">
        <f>'Raw Data'!S211</f>
        <v>2</v>
      </c>
    </row>
    <row r="219" spans="28:46" ht="15">
      <c r="AB219">
        <f>'Raw Data'!A212</f>
        <v>35</v>
      </c>
      <c r="AC219">
        <f>'Raw Data'!B212</f>
        <v>2603</v>
      </c>
      <c r="AD219">
        <f>'Raw Data'!C212</f>
        <v>1</v>
      </c>
      <c r="AE219" t="str">
        <f>'Raw Data'!D212</f>
        <v>Blue</v>
      </c>
      <c r="AF219">
        <f>'Raw Data'!E212</f>
        <v>0</v>
      </c>
      <c r="AG219">
        <f>'Raw Data'!F212</f>
        <v>0</v>
      </c>
      <c r="AH219">
        <f>'Raw Data'!G212</f>
        <v>0</v>
      </c>
      <c r="AI219">
        <f>'Raw Data'!H212</f>
        <v>0</v>
      </c>
      <c r="AJ219">
        <f>'Raw Data'!I212</f>
        <v>0</v>
      </c>
      <c r="AK219">
        <f>'Raw Data'!J212</f>
        <v>0</v>
      </c>
      <c r="AL219">
        <f>'Raw Data'!K212</f>
        <v>3</v>
      </c>
      <c r="AM219">
        <f>'Raw Data'!L212</f>
        <v>0</v>
      </c>
      <c r="AN219">
        <f>'Raw Data'!M212</f>
        <v>0</v>
      </c>
      <c r="AO219">
        <f>'Raw Data'!N212</f>
        <v>0</v>
      </c>
      <c r="AP219">
        <f>'Raw Data'!O212</f>
        <v>0</v>
      </c>
      <c r="AQ219">
        <f>'Raw Data'!P212</f>
        <v>0</v>
      </c>
      <c r="AR219">
        <f>'Raw Data'!Q212</f>
        <v>0</v>
      </c>
      <c r="AS219">
        <f>'Raw Data'!R212</f>
        <v>0</v>
      </c>
      <c r="AT219">
        <f>'Raw Data'!S212</f>
        <v>0</v>
      </c>
    </row>
    <row r="220" spans="28:46" ht="15">
      <c r="AB220">
        <f>'Raw Data'!A213</f>
        <v>35</v>
      </c>
      <c r="AC220">
        <f>'Raw Data'!B213</f>
        <v>306</v>
      </c>
      <c r="AD220">
        <f>'Raw Data'!C213</f>
        <v>1</v>
      </c>
      <c r="AE220" t="str">
        <f>'Raw Data'!D213</f>
        <v>Blue</v>
      </c>
      <c r="AF220">
        <f>'Raw Data'!E213</f>
        <v>0</v>
      </c>
      <c r="AG220">
        <f>'Raw Data'!F213</f>
        <v>0</v>
      </c>
      <c r="AH220">
        <f>'Raw Data'!G213</f>
        <v>0</v>
      </c>
      <c r="AI220">
        <f>'Raw Data'!H213</f>
        <v>0</v>
      </c>
      <c r="AJ220">
        <f>'Raw Data'!I213</f>
        <v>0</v>
      </c>
      <c r="AK220">
        <f>'Raw Data'!J213</f>
        <v>0</v>
      </c>
      <c r="AL220">
        <f>'Raw Data'!K213</f>
        <v>0</v>
      </c>
      <c r="AM220">
        <f>'Raw Data'!L213</f>
        <v>0</v>
      </c>
      <c r="AN220">
        <f>'Raw Data'!M213</f>
        <v>2</v>
      </c>
      <c r="AO220">
        <f>'Raw Data'!N213</f>
        <v>0</v>
      </c>
      <c r="AP220">
        <f>'Raw Data'!O213</f>
        <v>0</v>
      </c>
      <c r="AQ220">
        <f>'Raw Data'!P213</f>
        <v>0</v>
      </c>
      <c r="AR220">
        <f>'Raw Data'!Q213</f>
        <v>0</v>
      </c>
      <c r="AS220">
        <f>'Raw Data'!R213</f>
        <v>0</v>
      </c>
      <c r="AT220">
        <f>'Raw Data'!S213</f>
        <v>2</v>
      </c>
    </row>
  </sheetData>
  <sheetProtection/>
  <conditionalFormatting sqref="Q3">
    <cfRule type="cellIs" priority="1" dxfId="1" operator="greaterThan" stopIfTrue="1">
      <formula>18</formula>
    </cfRule>
    <cfRule type="cellIs" priority="2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95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2" max="2" width="13.421875" style="0" customWidth="1"/>
    <col min="3" max="3" width="11.7109375" style="0" customWidth="1"/>
    <col min="4" max="4" width="11.140625" style="0" customWidth="1"/>
    <col min="5" max="5" width="14.8515625" style="0" customWidth="1"/>
    <col min="6" max="6" width="11.57421875" style="0" customWidth="1"/>
    <col min="7" max="7" width="9.8515625" style="0" customWidth="1"/>
    <col min="8" max="8" width="7.140625" style="0" customWidth="1"/>
    <col min="9" max="9" width="5.421875" style="0" bestFit="1" customWidth="1"/>
    <col min="10" max="10" width="4.8515625" style="0" customWidth="1"/>
    <col min="11" max="11" width="9.8515625" style="0" customWidth="1"/>
  </cols>
  <sheetData>
    <row r="1" spans="1:12" ht="15">
      <c r="A1" t="s">
        <v>3</v>
      </c>
      <c r="B1" s="30" t="s">
        <v>23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28</v>
      </c>
      <c r="H1" s="30" t="s">
        <v>29</v>
      </c>
      <c r="I1" s="30" t="s">
        <v>30</v>
      </c>
      <c r="J1" s="30" t="s">
        <v>31</v>
      </c>
      <c r="K1" s="30" t="s">
        <v>32</v>
      </c>
      <c r="L1" t="s">
        <v>42</v>
      </c>
    </row>
    <row r="2" spans="1:12" ht="15">
      <c r="A2">
        <v>1114</v>
      </c>
      <c r="B2" s="30">
        <v>6.714285714285714</v>
      </c>
      <c r="C2" s="30">
        <v>9</v>
      </c>
      <c r="D2" s="30">
        <v>2</v>
      </c>
      <c r="E2" s="30">
        <v>4.285714285714286</v>
      </c>
      <c r="F2" s="30">
        <v>7</v>
      </c>
      <c r="G2" s="30">
        <v>2</v>
      </c>
      <c r="H2" s="30">
        <v>0</v>
      </c>
      <c r="I2" s="30">
        <v>0</v>
      </c>
      <c r="J2" s="30">
        <v>0</v>
      </c>
      <c r="K2" s="30">
        <v>0</v>
      </c>
      <c r="L2">
        <f aca="true" t="shared" si="0" ref="L2:L33">B2*6+C2+D2+E2*4+F2+G2-(((H2*H2*3)+(I2*I2*3)+(J2*J2*2)))</f>
        <v>77.42857142857143</v>
      </c>
    </row>
    <row r="3" spans="1:12" ht="15">
      <c r="A3">
        <v>1279</v>
      </c>
      <c r="B3" s="30">
        <v>1.8333333333333333</v>
      </c>
      <c r="C3" s="30">
        <v>4</v>
      </c>
      <c r="D3" s="30">
        <v>1</v>
      </c>
      <c r="E3" s="30">
        <v>3.3333333333333335</v>
      </c>
      <c r="F3" s="30">
        <v>5</v>
      </c>
      <c r="G3" s="30">
        <v>1</v>
      </c>
      <c r="H3" s="30">
        <v>0</v>
      </c>
      <c r="I3" s="30">
        <v>0</v>
      </c>
      <c r="J3" s="30">
        <v>0</v>
      </c>
      <c r="K3" s="30">
        <v>0</v>
      </c>
      <c r="L3">
        <f t="shared" si="0"/>
        <v>35.333333333333336</v>
      </c>
    </row>
    <row r="4" spans="1:12" ht="15">
      <c r="A4">
        <v>63</v>
      </c>
      <c r="B4" s="30">
        <v>3.2857142857142856</v>
      </c>
      <c r="C4" s="30">
        <v>7</v>
      </c>
      <c r="D4" s="30">
        <v>0</v>
      </c>
      <c r="E4" s="30">
        <v>1</v>
      </c>
      <c r="F4" s="30">
        <v>3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>
        <f t="shared" si="0"/>
        <v>33.714285714285715</v>
      </c>
    </row>
    <row r="5" spans="1:12" ht="15">
      <c r="A5">
        <v>3138</v>
      </c>
      <c r="B5" s="30">
        <v>0.8571428571428571</v>
      </c>
      <c r="C5" s="30">
        <v>3</v>
      </c>
      <c r="D5" s="30">
        <v>-1</v>
      </c>
      <c r="E5" s="30">
        <v>3.4285714285714284</v>
      </c>
      <c r="F5" s="30">
        <v>8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>
        <f t="shared" si="0"/>
        <v>28.857142857142854</v>
      </c>
    </row>
    <row r="6" spans="1:12" ht="15">
      <c r="A6">
        <v>2809</v>
      </c>
      <c r="B6" s="30">
        <v>2.8333333333333335</v>
      </c>
      <c r="C6" s="30">
        <v>6</v>
      </c>
      <c r="D6" s="30">
        <v>0</v>
      </c>
      <c r="E6" s="30">
        <v>0.5</v>
      </c>
      <c r="F6" s="30">
        <v>2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>
        <f t="shared" si="0"/>
        <v>27</v>
      </c>
    </row>
    <row r="7" spans="1:12" ht="15">
      <c r="A7">
        <v>451</v>
      </c>
      <c r="B7" s="30">
        <v>2.6666666666666665</v>
      </c>
      <c r="C7" s="30">
        <v>4</v>
      </c>
      <c r="D7" s="30">
        <v>0</v>
      </c>
      <c r="E7" s="30">
        <v>1</v>
      </c>
      <c r="F7" s="30">
        <v>2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>
        <f t="shared" si="0"/>
        <v>26</v>
      </c>
    </row>
    <row r="8" spans="1:12" ht="15">
      <c r="A8">
        <v>2614</v>
      </c>
      <c r="B8" s="30">
        <v>1.375</v>
      </c>
      <c r="C8" s="30">
        <v>4</v>
      </c>
      <c r="D8" s="30">
        <v>0</v>
      </c>
      <c r="E8" s="30">
        <v>1.875</v>
      </c>
      <c r="F8" s="30">
        <v>4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>
        <f t="shared" si="0"/>
        <v>23.75</v>
      </c>
    </row>
    <row r="9" spans="1:12" ht="15">
      <c r="A9">
        <v>222</v>
      </c>
      <c r="B9" s="30">
        <v>1.8571428571428572</v>
      </c>
      <c r="C9" s="30">
        <v>6</v>
      </c>
      <c r="D9" s="30">
        <v>-1</v>
      </c>
      <c r="E9" s="30">
        <v>0.8571428571428571</v>
      </c>
      <c r="F9" s="30">
        <v>4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>
        <f t="shared" si="0"/>
        <v>23.57142857142857</v>
      </c>
    </row>
    <row r="10" spans="1:12" ht="15">
      <c r="A10">
        <v>2051</v>
      </c>
      <c r="B10" s="30">
        <v>1.7142857142857142</v>
      </c>
      <c r="C10" s="30">
        <v>4</v>
      </c>
      <c r="D10" s="30">
        <v>0</v>
      </c>
      <c r="E10" s="30">
        <v>0.42857142857142855</v>
      </c>
      <c r="F10" s="30">
        <v>3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>
        <f t="shared" si="0"/>
        <v>19</v>
      </c>
    </row>
    <row r="11" spans="1:12" ht="15">
      <c r="A11">
        <v>1503</v>
      </c>
      <c r="B11" s="30">
        <v>1.1428571428571428</v>
      </c>
      <c r="C11" s="30">
        <v>3</v>
      </c>
      <c r="D11" s="30">
        <v>0</v>
      </c>
      <c r="E11" s="30">
        <v>1.4285714285714286</v>
      </c>
      <c r="F11" s="30">
        <v>3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>
        <f t="shared" si="0"/>
        <v>18.571428571428573</v>
      </c>
    </row>
    <row r="12" spans="1:12" ht="15">
      <c r="A12">
        <v>2252</v>
      </c>
      <c r="B12" s="30">
        <v>2.3333333333333335</v>
      </c>
      <c r="C12" s="30">
        <v>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>
        <f t="shared" si="0"/>
        <v>18</v>
      </c>
    </row>
    <row r="13" spans="1:12" ht="15">
      <c r="A13">
        <v>1038</v>
      </c>
      <c r="B13" s="30">
        <v>1.1428571428571428</v>
      </c>
      <c r="C13" s="30">
        <v>3</v>
      </c>
      <c r="D13" s="30">
        <v>0</v>
      </c>
      <c r="E13" s="30">
        <v>0.8571428571428571</v>
      </c>
      <c r="F13" s="30">
        <v>3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>
        <f t="shared" si="0"/>
        <v>16.285714285714285</v>
      </c>
    </row>
    <row r="14" spans="1:12" ht="15">
      <c r="A14">
        <v>1249</v>
      </c>
      <c r="B14" s="30">
        <v>1.4285714285714286</v>
      </c>
      <c r="C14" s="30">
        <v>4</v>
      </c>
      <c r="D14" s="30">
        <v>0</v>
      </c>
      <c r="E14" s="30">
        <v>0.2857142857142857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>
        <f t="shared" si="0"/>
        <v>14.714285714285714</v>
      </c>
    </row>
    <row r="15" spans="1:12" ht="15">
      <c r="A15">
        <v>337</v>
      </c>
      <c r="B15" s="30">
        <v>0.7142857142857143</v>
      </c>
      <c r="C15" s="30">
        <v>1</v>
      </c>
      <c r="D15" s="30">
        <v>0</v>
      </c>
      <c r="E15" s="30">
        <v>0.7142857142857143</v>
      </c>
      <c r="F15" s="30">
        <v>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>
        <f t="shared" si="0"/>
        <v>10.142857142857142</v>
      </c>
    </row>
    <row r="16" spans="1:12" ht="15">
      <c r="A16">
        <v>433</v>
      </c>
      <c r="B16" s="30">
        <v>0.5714285714285714</v>
      </c>
      <c r="C16" s="30">
        <v>1</v>
      </c>
      <c r="D16" s="30">
        <v>0</v>
      </c>
      <c r="E16" s="30">
        <v>0.8571428571428571</v>
      </c>
      <c r="F16" s="30">
        <v>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>
        <f t="shared" si="0"/>
        <v>9.857142857142858</v>
      </c>
    </row>
    <row r="17" spans="1:12" ht="15">
      <c r="A17">
        <v>3193</v>
      </c>
      <c r="B17" s="30">
        <v>0.14285714285714285</v>
      </c>
      <c r="C17" s="30">
        <v>3</v>
      </c>
      <c r="D17" s="30">
        <v>-1</v>
      </c>
      <c r="E17" s="30">
        <v>0.8571428571428571</v>
      </c>
      <c r="F17" s="30">
        <v>3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>
        <f t="shared" si="0"/>
        <v>9.285714285714285</v>
      </c>
    </row>
    <row r="18" spans="1:12" ht="15">
      <c r="A18">
        <v>1990</v>
      </c>
      <c r="B18" s="30">
        <v>-0.14285714285714285</v>
      </c>
      <c r="C18" s="30">
        <v>1</v>
      </c>
      <c r="D18" s="30">
        <v>-1</v>
      </c>
      <c r="E18" s="30">
        <v>1.2857142857142858</v>
      </c>
      <c r="F18" s="30">
        <v>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>
        <f t="shared" si="0"/>
        <v>8.285714285714286</v>
      </c>
    </row>
    <row r="19" spans="1:12" ht="15">
      <c r="A19">
        <v>1743</v>
      </c>
      <c r="B19" s="30">
        <v>-0.16666666666666666</v>
      </c>
      <c r="C19" s="30">
        <v>0</v>
      </c>
      <c r="D19" s="30">
        <v>-1</v>
      </c>
      <c r="E19" s="30">
        <v>1.5</v>
      </c>
      <c r="F19" s="30">
        <v>2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>
        <f t="shared" si="0"/>
        <v>6</v>
      </c>
    </row>
    <row r="20" spans="1:12" ht="15">
      <c r="A20">
        <v>306</v>
      </c>
      <c r="B20" s="30">
        <v>-0.14285714285714285</v>
      </c>
      <c r="C20" s="30">
        <v>0</v>
      </c>
      <c r="D20" s="30">
        <v>-1</v>
      </c>
      <c r="E20" s="30">
        <v>1.1428571428571428</v>
      </c>
      <c r="F20" s="30">
        <v>3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>
        <f t="shared" si="0"/>
        <v>5.7142857142857135</v>
      </c>
    </row>
    <row r="21" spans="1:12" ht="15">
      <c r="A21">
        <v>3260</v>
      </c>
      <c r="B21" s="30">
        <v>0</v>
      </c>
      <c r="C21" s="30">
        <v>1</v>
      </c>
      <c r="D21" s="30">
        <v>-1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>
        <f t="shared" si="0"/>
        <v>0</v>
      </c>
    </row>
    <row r="22" spans="1:12" ht="15">
      <c r="A22">
        <v>2618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>
        <f t="shared" si="0"/>
        <v>0</v>
      </c>
    </row>
    <row r="23" spans="1:12" ht="15">
      <c r="A23">
        <v>1708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>
        <f t="shared" si="0"/>
        <v>0</v>
      </c>
    </row>
    <row r="24" spans="1:12" ht="15">
      <c r="A24">
        <v>128</v>
      </c>
      <c r="B24" s="30">
        <v>0</v>
      </c>
      <c r="C24" s="30">
        <v>1</v>
      </c>
      <c r="D24" s="30">
        <v>-1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>
        <f t="shared" si="0"/>
        <v>0</v>
      </c>
    </row>
    <row r="25" spans="1:12" ht="15">
      <c r="A25">
        <v>2279</v>
      </c>
      <c r="B25" s="30">
        <v>-0.16666666666666666</v>
      </c>
      <c r="C25" s="30">
        <v>0</v>
      </c>
      <c r="D25" s="30">
        <v>-1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>
        <f t="shared" si="0"/>
        <v>-2</v>
      </c>
    </row>
    <row r="26" spans="1:12" ht="15">
      <c r="A26">
        <v>2603</v>
      </c>
      <c r="B26" s="30">
        <v>-0.8571428571428571</v>
      </c>
      <c r="C26" s="30">
        <v>0</v>
      </c>
      <c r="D26" s="30">
        <v>-2</v>
      </c>
      <c r="E26" s="30">
        <v>0.42857142857142855</v>
      </c>
      <c r="F26" s="30">
        <v>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>
        <f t="shared" si="0"/>
        <v>-3.428571428571428</v>
      </c>
    </row>
    <row r="27" spans="1:12" ht="15">
      <c r="A27">
        <v>2641</v>
      </c>
      <c r="B27" s="30">
        <v>-0.3333333333333333</v>
      </c>
      <c r="C27" s="30">
        <v>0</v>
      </c>
      <c r="D27" s="30">
        <v>-1</v>
      </c>
      <c r="E27" s="30">
        <v>0.3333333333333333</v>
      </c>
      <c r="F27" s="30">
        <v>1</v>
      </c>
      <c r="G27" s="30">
        <v>0</v>
      </c>
      <c r="H27" s="30">
        <v>0</v>
      </c>
      <c r="I27" s="30">
        <v>1</v>
      </c>
      <c r="J27" s="30">
        <v>0</v>
      </c>
      <c r="K27" s="30">
        <v>0</v>
      </c>
      <c r="L27">
        <f t="shared" si="0"/>
        <v>-3.666666666666667</v>
      </c>
    </row>
    <row r="28" spans="1:12" ht="15">
      <c r="A28">
        <v>2544</v>
      </c>
      <c r="B28" s="30">
        <v>-0.14285714285714285</v>
      </c>
      <c r="C28" s="30">
        <v>1</v>
      </c>
      <c r="D28" s="30">
        <v>-2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1</v>
      </c>
      <c r="K28" s="30">
        <v>0</v>
      </c>
      <c r="L28">
        <f t="shared" si="0"/>
        <v>-3.857142857142857</v>
      </c>
    </row>
    <row r="29" spans="1:12" ht="15">
      <c r="A29">
        <v>3062</v>
      </c>
      <c r="B29" s="30">
        <v>0.42857142857142855</v>
      </c>
      <c r="C29" s="30">
        <v>4</v>
      </c>
      <c r="D29" s="30">
        <v>-2</v>
      </c>
      <c r="E29" s="30">
        <v>0.2857142857142857</v>
      </c>
      <c r="F29" s="30">
        <v>1</v>
      </c>
      <c r="G29" s="30">
        <v>0</v>
      </c>
      <c r="H29" s="30">
        <v>2</v>
      </c>
      <c r="I29" s="30">
        <v>0</v>
      </c>
      <c r="J29" s="30">
        <v>0</v>
      </c>
      <c r="K29" s="30">
        <v>0</v>
      </c>
      <c r="L29">
        <f t="shared" si="0"/>
        <v>-5.2857142857142865</v>
      </c>
    </row>
    <row r="30" spans="1:12" ht="15">
      <c r="A30">
        <v>117</v>
      </c>
      <c r="B30" s="30">
        <v>0.16666666666666666</v>
      </c>
      <c r="C30" s="30">
        <v>1</v>
      </c>
      <c r="D30" s="30">
        <v>0</v>
      </c>
      <c r="E30" s="30">
        <v>0.3333333333333333</v>
      </c>
      <c r="F30" s="30">
        <v>2</v>
      </c>
      <c r="G30" s="30">
        <v>0</v>
      </c>
      <c r="H30" s="30">
        <v>2</v>
      </c>
      <c r="I30" s="30">
        <v>0</v>
      </c>
      <c r="J30" s="30">
        <v>0</v>
      </c>
      <c r="K30" s="30">
        <v>0</v>
      </c>
      <c r="L30">
        <f t="shared" si="0"/>
        <v>-6.666666666666667</v>
      </c>
    </row>
    <row r="31" spans="1:12" ht="15">
      <c r="A31">
        <v>2656</v>
      </c>
      <c r="B31" s="30">
        <v>-0.16666666666666666</v>
      </c>
      <c r="C31" s="30">
        <v>0</v>
      </c>
      <c r="D31" s="30">
        <v>-1</v>
      </c>
      <c r="E31" s="30">
        <v>0</v>
      </c>
      <c r="F31" s="30">
        <v>0</v>
      </c>
      <c r="G31" s="30">
        <v>0</v>
      </c>
      <c r="H31" s="30">
        <v>2</v>
      </c>
      <c r="I31" s="30">
        <v>0</v>
      </c>
      <c r="J31" s="30">
        <v>0</v>
      </c>
      <c r="K31" s="30">
        <v>0</v>
      </c>
      <c r="L31">
        <f t="shared" si="0"/>
        <v>-14</v>
      </c>
    </row>
    <row r="32" spans="1:12" ht="15">
      <c r="A32">
        <v>1317</v>
      </c>
      <c r="B32" s="30">
        <v>1.2857142857142858</v>
      </c>
      <c r="C32" s="30">
        <v>3</v>
      </c>
      <c r="D32" s="30">
        <v>0</v>
      </c>
      <c r="E32" s="30">
        <v>0.14285714285714285</v>
      </c>
      <c r="F32" s="30">
        <v>1</v>
      </c>
      <c r="G32" s="30">
        <v>0</v>
      </c>
      <c r="H32" s="30">
        <v>2</v>
      </c>
      <c r="I32" s="30">
        <v>3</v>
      </c>
      <c r="J32" s="30">
        <v>0</v>
      </c>
      <c r="K32" s="30">
        <v>0</v>
      </c>
      <c r="L32">
        <f t="shared" si="0"/>
        <v>-26.714285714285715</v>
      </c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>
        <f t="shared" si="0"/>
        <v>0</v>
      </c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>
        <f aca="true" t="shared" si="1" ref="L34:L65">B34*6+C34+D34+E34*4+F34+G34-(((H34*H34*3)+(I34*I34*3)+(J34*J34*2)))</f>
        <v>0</v>
      </c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>
        <f t="shared" si="1"/>
        <v>0</v>
      </c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>
        <f t="shared" si="1"/>
        <v>0</v>
      </c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>
        <f t="shared" si="1"/>
        <v>0</v>
      </c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>
        <f t="shared" si="1"/>
        <v>0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>
        <f t="shared" si="1"/>
        <v>0</v>
      </c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>
        <f t="shared" si="1"/>
        <v>0</v>
      </c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>
        <f t="shared" si="1"/>
        <v>0</v>
      </c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>
        <f t="shared" si="1"/>
        <v>0</v>
      </c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>
        <f t="shared" si="1"/>
        <v>0</v>
      </c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>
        <f t="shared" si="1"/>
        <v>0</v>
      </c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>
        <f t="shared" si="1"/>
        <v>0</v>
      </c>
    </row>
    <row r="46" spans="2:12" ht="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>
        <f t="shared" si="1"/>
        <v>0</v>
      </c>
    </row>
    <row r="47" spans="2:12" ht="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>
        <f t="shared" si="1"/>
        <v>0</v>
      </c>
    </row>
    <row r="48" spans="2:12" ht="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>
        <f t="shared" si="1"/>
        <v>0</v>
      </c>
    </row>
    <row r="49" spans="2:12" ht="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>
        <f t="shared" si="1"/>
        <v>0</v>
      </c>
    </row>
    <row r="50" spans="2:12" ht="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>
        <f t="shared" si="1"/>
        <v>0</v>
      </c>
    </row>
    <row r="51" spans="2:12" ht="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>
        <f t="shared" si="1"/>
        <v>0</v>
      </c>
    </row>
    <row r="52" spans="2:12" ht="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>
        <f t="shared" si="1"/>
        <v>0</v>
      </c>
    </row>
    <row r="53" spans="2:12" ht="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>
        <f t="shared" si="1"/>
        <v>0</v>
      </c>
    </row>
    <row r="54" spans="2:12" ht="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>
        <f t="shared" si="1"/>
        <v>0</v>
      </c>
    </row>
    <row r="55" spans="2:12" ht="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>
        <f t="shared" si="1"/>
        <v>0</v>
      </c>
    </row>
    <row r="56" spans="2:12" ht="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>
        <f t="shared" si="1"/>
        <v>0</v>
      </c>
    </row>
    <row r="57" spans="2:12" ht="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>
        <f t="shared" si="1"/>
        <v>0</v>
      </c>
    </row>
    <row r="58" spans="2:12" ht="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>
        <f t="shared" si="1"/>
        <v>0</v>
      </c>
    </row>
    <row r="59" spans="2:12" ht="1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>
        <f t="shared" si="1"/>
        <v>0</v>
      </c>
    </row>
    <row r="60" spans="2:12" ht="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>
        <f t="shared" si="1"/>
        <v>0</v>
      </c>
    </row>
    <row r="61" spans="2:12" ht="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>
        <f t="shared" si="1"/>
        <v>0</v>
      </c>
    </row>
    <row r="62" spans="2:12" ht="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>
        <f t="shared" si="1"/>
        <v>0</v>
      </c>
    </row>
    <row r="63" spans="2:12" ht="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>
        <f t="shared" si="1"/>
        <v>0</v>
      </c>
    </row>
    <row r="64" spans="2:12" ht="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>
        <f t="shared" si="1"/>
        <v>0</v>
      </c>
    </row>
    <row r="65" spans="2:12" ht="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>
        <f t="shared" si="1"/>
        <v>0</v>
      </c>
    </row>
    <row r="66" spans="2:12" ht="1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>
        <f aca="true" t="shared" si="2" ref="L66:L83">B66*6+C66+D66+E66*4+F66+G66-(((H66*H66*3)+(I66*I66*3)+(J66*J66*2)))</f>
        <v>0</v>
      </c>
    </row>
    <row r="67" spans="2:15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>
        <f t="shared" si="2"/>
        <v>0</v>
      </c>
      <c r="M67">
        <v>0.14285714285714285</v>
      </c>
      <c r="N67">
        <v>0</v>
      </c>
      <c r="O67">
        <v>0</v>
      </c>
    </row>
    <row r="68" spans="2:12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>
        <f t="shared" si="2"/>
        <v>0</v>
      </c>
    </row>
    <row r="69" spans="2:12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>
        <f t="shared" si="2"/>
        <v>0</v>
      </c>
    </row>
    <row r="70" spans="2:12" ht="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>
        <f t="shared" si="2"/>
        <v>0</v>
      </c>
    </row>
    <row r="71" spans="2:12" ht="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>
        <f t="shared" si="2"/>
        <v>0</v>
      </c>
    </row>
    <row r="72" spans="2:12" ht="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>
        <f t="shared" si="2"/>
        <v>0</v>
      </c>
    </row>
    <row r="73" spans="2:12" ht="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>
        <f t="shared" si="2"/>
        <v>0</v>
      </c>
    </row>
    <row r="74" spans="2:12" ht="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>
        <f t="shared" si="2"/>
        <v>0</v>
      </c>
    </row>
    <row r="75" spans="2:12" ht="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>
        <f t="shared" si="2"/>
        <v>0</v>
      </c>
    </row>
    <row r="76" spans="2:12" ht="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>
        <f t="shared" si="2"/>
        <v>0</v>
      </c>
    </row>
    <row r="77" spans="2:12" ht="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>
        <f t="shared" si="2"/>
        <v>0</v>
      </c>
    </row>
    <row r="78" spans="2:12" ht="1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>
        <f t="shared" si="2"/>
        <v>0</v>
      </c>
    </row>
    <row r="79" spans="2:12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>
        <f t="shared" si="2"/>
        <v>0</v>
      </c>
    </row>
    <row r="80" spans="2:12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>
        <f t="shared" si="2"/>
        <v>0</v>
      </c>
    </row>
    <row r="81" spans="2:12" ht="1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>
        <f t="shared" si="2"/>
        <v>0</v>
      </c>
    </row>
    <row r="82" spans="2:12" ht="1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>
        <f t="shared" si="2"/>
        <v>0</v>
      </c>
    </row>
    <row r="83" spans="2:12" ht="1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>
        <f t="shared" si="2"/>
        <v>0</v>
      </c>
    </row>
    <row r="663" spans="1:13" ht="1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</row>
    <row r="664" spans="1:13" ht="1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</row>
    <row r="665" spans="1:13" ht="1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</row>
    <row r="666" spans="1:13" ht="1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</row>
    <row r="667" spans="1:13" ht="1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</row>
    <row r="668" spans="1:13" ht="1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</row>
    <row r="669" spans="1:13" ht="1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</row>
    <row r="670" spans="1:13" ht="1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</row>
    <row r="671" spans="1:13" ht="1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</row>
    <row r="672" spans="1:13" ht="1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</row>
    <row r="673" spans="1:13" ht="1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</row>
    <row r="674" spans="1:13" ht="1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</row>
    <row r="675" spans="1:13" ht="1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</row>
    <row r="676" spans="1:13" ht="1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</row>
    <row r="677" spans="1:13" ht="1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</row>
    <row r="678" spans="1:13" ht="1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</row>
    <row r="679" spans="1:13" ht="1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</row>
    <row r="680" spans="1:13" ht="1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</row>
    <row r="681" spans="1:13" ht="1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</row>
    <row r="682" spans="1:13" ht="1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</row>
    <row r="683" spans="1:13" ht="1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</row>
    <row r="684" spans="1:13" ht="1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</row>
    <row r="685" spans="1:13" ht="1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</row>
    <row r="686" spans="1:13" ht="1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</row>
    <row r="687" spans="1:13" ht="1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</row>
    <row r="688" spans="1:13" ht="1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</row>
    <row r="689" spans="1:13" ht="1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</row>
    <row r="690" spans="1:13" ht="1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</row>
    <row r="691" spans="1:13" ht="1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</row>
    <row r="692" spans="1:13" ht="1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</row>
    <row r="693" spans="1:13" ht="1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</row>
    <row r="694" spans="1:13" ht="1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</row>
    <row r="695" spans="1:13" ht="1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</row>
    <row r="696" spans="1:13" ht="1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</row>
    <row r="697" spans="1:13" ht="1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</row>
    <row r="698" spans="1:13" ht="1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</row>
    <row r="699" spans="1:13" ht="1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</row>
    <row r="700" spans="1:13" ht="1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</row>
    <row r="701" spans="1:13" ht="1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</row>
    <row r="702" spans="1:13" ht="1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</row>
    <row r="703" spans="1:13" ht="1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</row>
    <row r="704" spans="1:13" ht="1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</row>
    <row r="705" spans="1:13" ht="1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</row>
    <row r="706" spans="1:13" ht="1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</row>
    <row r="707" spans="1:13" ht="1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</row>
    <row r="708" spans="1:13" ht="1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</row>
    <row r="709" spans="1:13" ht="1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</row>
    <row r="710" spans="1:13" ht="1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</row>
    <row r="711" spans="1:13" ht="1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</row>
    <row r="712" spans="1:13" ht="1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</row>
    <row r="713" spans="1:13" ht="1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</row>
    <row r="714" spans="1:13" ht="1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</row>
    <row r="715" spans="1:13" ht="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</row>
    <row r="716" spans="1:13" ht="1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</row>
    <row r="717" spans="1:13" ht="1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</row>
    <row r="718" spans="1:13" ht="1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</row>
    <row r="719" spans="1:13" ht="1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</row>
    <row r="720" spans="1:13" ht="1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</row>
    <row r="721" spans="1:13" ht="1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</row>
    <row r="722" spans="1:13" ht="1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</row>
    <row r="723" spans="1:13" ht="1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</row>
    <row r="724" spans="1:13" ht="1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</row>
    <row r="725" spans="1:13" ht="1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</row>
    <row r="726" spans="1:13" ht="1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</row>
    <row r="727" spans="1:13" ht="1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</row>
    <row r="728" spans="1:13" ht="1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</row>
    <row r="729" spans="1:13" ht="1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</row>
    <row r="730" spans="1:13" ht="1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</row>
    <row r="731" spans="1:13" ht="1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</row>
    <row r="732" spans="1:13" ht="1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</row>
    <row r="733" spans="1:13" ht="1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</row>
    <row r="734" spans="1:13" ht="1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</row>
    <row r="735" spans="1:13" ht="1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</row>
    <row r="736" spans="1:13" ht="1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</row>
    <row r="737" spans="1:13" ht="1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</row>
    <row r="738" spans="1:13" ht="1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</row>
    <row r="739" spans="1:13" ht="1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</row>
    <row r="740" spans="1:13" ht="1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</row>
    <row r="741" spans="1:13" ht="1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</row>
    <row r="742" spans="1:13" ht="1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</row>
    <row r="743" spans="1:13" ht="1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</row>
    <row r="744" spans="1:13" ht="1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</row>
    <row r="745" spans="1:13" ht="1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</row>
    <row r="746" spans="1:13" ht="1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</row>
    <row r="747" spans="1:13" ht="1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</row>
    <row r="748" spans="1:13" ht="1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</row>
    <row r="749" spans="1:13" ht="1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</row>
    <row r="750" spans="1:13" ht="1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</row>
    <row r="751" spans="1:13" ht="1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</row>
    <row r="752" spans="1:13" ht="1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</row>
    <row r="753" spans="1:13" ht="1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</row>
    <row r="754" spans="1:13" ht="1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1:13" ht="1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</row>
    <row r="756" spans="1:13" ht="1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</row>
    <row r="757" spans="1:13" ht="1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</row>
    <row r="758" spans="1:13" ht="1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</row>
    <row r="759" spans="1:13" ht="1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</row>
    <row r="760" spans="1:13" ht="1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</row>
    <row r="761" spans="1:13" ht="1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</row>
    <row r="762" spans="1:13" ht="1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</row>
    <row r="763" spans="1:13" ht="1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</row>
    <row r="764" spans="1:13" ht="1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</row>
    <row r="765" spans="1:13" ht="1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</row>
    <row r="766" spans="1:13" ht="1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</row>
    <row r="767" spans="1:13" ht="1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</row>
    <row r="768" spans="1:13" ht="1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</row>
    <row r="769" spans="1:13" ht="1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</row>
    <row r="770" spans="1:13" ht="1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</row>
    <row r="771" spans="1:13" ht="1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</row>
    <row r="772" spans="1:13" ht="1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</row>
    <row r="773" spans="1:13" ht="1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</row>
    <row r="774" spans="1:13" ht="1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</row>
    <row r="775" spans="1:13" ht="1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</row>
    <row r="776" spans="1:13" ht="1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</row>
    <row r="777" spans="1:13" ht="1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</row>
    <row r="778" spans="1:13" ht="1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</row>
    <row r="779" spans="1:13" ht="1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</row>
    <row r="780" spans="1:13" ht="1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</row>
    <row r="781" spans="1:13" ht="1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</row>
    <row r="782" spans="1:13" ht="1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</row>
    <row r="783" spans="1:13" ht="1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</row>
    <row r="784" spans="1:13" ht="1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</row>
    <row r="785" spans="1:13" ht="1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</row>
    <row r="786" spans="1:13" ht="1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</row>
    <row r="787" spans="1:13" ht="1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</row>
    <row r="788" spans="1:13" ht="1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</row>
    <row r="789" spans="1:13" ht="1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</row>
    <row r="790" spans="1:13" ht="1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</row>
    <row r="791" spans="1:13" ht="1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</row>
    <row r="792" spans="1:13" ht="1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</row>
    <row r="793" spans="1:13" ht="1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</row>
    <row r="794" spans="1:13" ht="1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</row>
    <row r="795" spans="1:13" ht="1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</row>
    <row r="796" spans="1:13" ht="1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</row>
    <row r="797" spans="1:13" ht="1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</row>
    <row r="798" spans="1:13" ht="1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</row>
    <row r="799" spans="1:13" ht="1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</row>
    <row r="800" spans="1:13" ht="1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</row>
    <row r="801" spans="1:13" ht="1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</row>
    <row r="802" spans="1:13" ht="1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</row>
    <row r="803" spans="1:13" ht="1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</row>
    <row r="804" spans="1:13" ht="1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</row>
    <row r="805" spans="1:13" ht="1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</row>
    <row r="806" spans="1:13" ht="1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</row>
    <row r="807" spans="1:13" ht="1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</row>
    <row r="808" spans="1:13" ht="1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</row>
    <row r="809" spans="1:13" ht="1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</row>
    <row r="810" spans="1:13" ht="1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</row>
    <row r="811" spans="1:13" ht="1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</row>
    <row r="812" spans="1:13" ht="1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</row>
    <row r="813" spans="1:13" ht="1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</row>
    <row r="814" spans="1:13" ht="1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</row>
    <row r="815" spans="1:13" ht="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</row>
    <row r="816" spans="1:13" ht="1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</row>
    <row r="817" spans="1:13" ht="1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</row>
    <row r="818" spans="1:13" ht="1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</row>
    <row r="819" spans="1:13" ht="1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</row>
    <row r="820" spans="1:13" ht="1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</row>
    <row r="821" spans="1:13" ht="1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</row>
    <row r="822" spans="1:13" ht="1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</row>
    <row r="823" spans="1:13" ht="1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</row>
    <row r="824" spans="1:13" ht="1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</row>
    <row r="825" spans="1:13" ht="1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</row>
    <row r="826" spans="1:13" ht="1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</row>
    <row r="827" spans="1:13" ht="1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</row>
    <row r="828" spans="1:13" ht="1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</row>
    <row r="829" spans="1:13" ht="1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</row>
    <row r="830" spans="1:13" ht="1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</row>
    <row r="831" spans="1:13" ht="1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</row>
    <row r="832" spans="1:13" ht="1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</row>
    <row r="833" spans="1:13" ht="1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</row>
    <row r="834" spans="1:13" ht="1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</row>
    <row r="835" spans="1:13" ht="1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</row>
    <row r="836" spans="1:13" ht="1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</row>
    <row r="837" spans="1:13" ht="1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</row>
    <row r="838" spans="1:13" ht="1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</row>
    <row r="839" spans="1:13" ht="1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</row>
    <row r="840" spans="1:13" ht="1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</row>
    <row r="841" spans="1:13" ht="1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</row>
    <row r="842" spans="1:13" ht="1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</row>
    <row r="843" spans="1:13" ht="1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</row>
    <row r="844" spans="1:13" ht="1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</row>
    <row r="845" spans="1:13" ht="1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</row>
    <row r="846" spans="1:13" ht="1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</row>
    <row r="847" spans="1:13" ht="1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</row>
    <row r="848" spans="1:13" ht="1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</row>
    <row r="849" spans="1:13" ht="1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</row>
    <row r="850" spans="1:13" ht="1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</row>
    <row r="851" spans="1:13" ht="1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</row>
    <row r="852" spans="1:13" ht="1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</row>
    <row r="853" spans="1:13" ht="1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</row>
    <row r="854" spans="1:13" ht="1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</row>
    <row r="855" spans="1:13" ht="1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</row>
    <row r="856" spans="1:13" ht="1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</row>
    <row r="857" spans="1:13" ht="1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</row>
    <row r="858" spans="1:13" ht="1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</row>
    <row r="859" spans="1:13" ht="1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</row>
    <row r="860" spans="1:13" ht="1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</row>
    <row r="861" spans="1:13" ht="1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</row>
    <row r="862" spans="1:13" ht="1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</row>
    <row r="863" spans="1:13" ht="1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</row>
    <row r="864" spans="1:13" ht="1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</row>
    <row r="865" spans="1:13" ht="1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</row>
    <row r="866" spans="1:13" ht="1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</row>
    <row r="867" spans="1:13" ht="1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</row>
    <row r="868" spans="1:13" ht="1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</row>
    <row r="869" spans="1:13" ht="1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</row>
    <row r="870" spans="1:13" ht="1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</row>
    <row r="871" spans="1:13" ht="1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</row>
    <row r="872" spans="1:13" ht="1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</row>
    <row r="873" spans="1:13" ht="1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</row>
    <row r="874" spans="1:13" ht="1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</row>
    <row r="875" spans="1:13" ht="1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</row>
    <row r="876" spans="1:13" ht="1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</row>
    <row r="877" spans="1:13" ht="1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</row>
    <row r="878" spans="1:13" ht="1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</row>
    <row r="879" spans="1:13" ht="1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</row>
    <row r="880" spans="1:13" ht="1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</row>
    <row r="881" spans="1:13" ht="1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</row>
    <row r="882" spans="1:13" ht="1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</row>
    <row r="883" spans="1:13" ht="1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</row>
    <row r="884" spans="1:13" ht="1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</row>
    <row r="885" spans="1:13" ht="1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</row>
    <row r="886" spans="1:13" ht="1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</row>
    <row r="887" spans="1:13" ht="1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</row>
    <row r="888" spans="1:13" ht="1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</row>
    <row r="889" spans="1:13" ht="1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</row>
    <row r="890" spans="1:13" ht="1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</row>
    <row r="891" spans="1:13" ht="1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</row>
    <row r="892" spans="1:13" ht="1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</row>
    <row r="893" spans="1:13" ht="1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</row>
    <row r="894" spans="1:13" ht="1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</row>
    <row r="895" spans="1:13" ht="1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</row>
    <row r="896" spans="1:13" ht="1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</row>
    <row r="897" spans="1:13" ht="1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</row>
    <row r="898" spans="1:13" ht="1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</row>
    <row r="899" spans="1:13" ht="1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</row>
    <row r="900" spans="1:13" ht="1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</row>
    <row r="901" spans="1:13" ht="1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</row>
    <row r="902" spans="1:13" ht="1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</row>
    <row r="903" spans="1:13" ht="1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</row>
    <row r="904" spans="1:13" ht="1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</row>
    <row r="905" spans="1:13" ht="1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</row>
    <row r="906" spans="1:13" ht="1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</row>
    <row r="907" spans="1:13" ht="1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</row>
    <row r="908" spans="1:13" ht="1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</row>
    <row r="909" spans="1:13" ht="1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</row>
    <row r="910" spans="1:13" ht="1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</row>
    <row r="911" spans="1:13" ht="1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</row>
    <row r="912" spans="1:13" ht="1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</row>
    <row r="913" spans="1:13" ht="1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</row>
    <row r="914" spans="1:13" ht="1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</row>
    <row r="915" spans="1:13" ht="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</row>
    <row r="916" spans="1:13" ht="1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</row>
    <row r="917" spans="1:13" ht="1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</row>
    <row r="918" spans="1:13" ht="1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</row>
    <row r="919" spans="1:13" ht="1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</row>
    <row r="920" spans="1:13" ht="1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</row>
    <row r="921" spans="1:13" ht="1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</row>
    <row r="922" spans="1:13" ht="1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</row>
    <row r="923" spans="1:13" ht="1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</row>
    <row r="924" spans="1:13" ht="1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</row>
    <row r="925" spans="1:13" ht="1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</row>
    <row r="926" spans="1:13" ht="1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</row>
    <row r="927" spans="1:13" ht="1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</row>
    <row r="928" spans="1:13" ht="1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</row>
    <row r="929" spans="1:13" ht="1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</row>
    <row r="930" spans="1:13" ht="1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</row>
    <row r="931" spans="1:13" ht="1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</row>
    <row r="932" spans="1:13" ht="1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</row>
    <row r="933" spans="1:13" ht="1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</row>
    <row r="934" spans="1:13" ht="1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</row>
    <row r="935" spans="1:13" ht="1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</row>
    <row r="936" spans="1:13" ht="1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</row>
    <row r="937" spans="1:13" ht="1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</row>
    <row r="938" spans="1:13" ht="1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</row>
    <row r="939" spans="1:13" ht="1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</row>
    <row r="940" spans="1:13" ht="1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</row>
    <row r="941" spans="1:13" ht="1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</row>
    <row r="942" spans="1:13" ht="1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</row>
    <row r="943" spans="1:13" ht="1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</row>
    <row r="944" spans="1:13" ht="1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</row>
    <row r="945" spans="1:13" ht="1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</row>
    <row r="946" spans="1:13" ht="1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</row>
    <row r="947" spans="1:13" ht="1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</row>
    <row r="948" spans="1:13" ht="1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</row>
    <row r="949" spans="1:13" ht="1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</row>
    <row r="950" spans="1:13" ht="1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</row>
    <row r="951" spans="1:13" ht="1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</row>
    <row r="952" spans="1:13" ht="1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</row>
    <row r="953" spans="1:13" ht="1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</row>
    <row r="954" spans="1:13" ht="1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</row>
    <row r="955" spans="1:13" ht="1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</row>
    <row r="956" spans="1:13" ht="1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</row>
    <row r="957" spans="1:13" ht="1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</row>
    <row r="958" spans="1:13" ht="1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</row>
    <row r="959" spans="1:13" ht="1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</row>
  </sheetData>
  <sheetProtection/>
  <autoFilter ref="A1:L83"/>
  <conditionalFormatting sqref="G1:G65536">
    <cfRule type="cellIs" priority="5" dxfId="6" operator="greaterThanOrEqual" stopIfTrue="1">
      <formula>2</formula>
    </cfRule>
  </conditionalFormatting>
  <conditionalFormatting sqref="J1:J65536">
    <cfRule type="cellIs" priority="6" dxfId="9" operator="greaterThanOrEqual" stopIfTrue="1">
      <formula>1</formula>
    </cfRule>
  </conditionalFormatting>
  <conditionalFormatting sqref="D1:D65536">
    <cfRule type="cellIs" priority="7" dxfId="6" operator="greaterThan" stopIfTrue="1">
      <formula>1</formula>
    </cfRule>
    <cfRule type="cellIs" priority="8" dxfId="13" operator="lessThan" stopIfTrue="1">
      <formula>0</formula>
    </cfRule>
  </conditionalFormatting>
  <conditionalFormatting sqref="C1:C65536">
    <cfRule type="cellIs" priority="9" dxfId="6" operator="greaterThan" stopIfTrue="1">
      <formula>5</formula>
    </cfRule>
    <cfRule type="cellIs" priority="10" dxfId="5" operator="greaterThanOrEqual" stopIfTrue="1">
      <formula>3</formula>
    </cfRule>
  </conditionalFormatting>
  <conditionalFormatting sqref="K1:K65536">
    <cfRule type="cellIs" priority="11" dxfId="5" operator="greaterThanOrEqual" stopIfTrue="1">
      <formula>1</formula>
    </cfRule>
  </conditionalFormatting>
  <conditionalFormatting sqref="L1 L84:L65536">
    <cfRule type="cellIs" priority="12" dxfId="1" operator="greaterThan" stopIfTrue="1">
      <formula>18</formula>
    </cfRule>
    <cfRule type="cellIs" priority="13" dxfId="0" operator="lessThanOrEqual" stopIfTrue="1">
      <formula>0</formula>
    </cfRule>
  </conditionalFormatting>
  <conditionalFormatting sqref="B1:B65536">
    <cfRule type="cellIs" priority="14" dxfId="6" operator="greaterThanOrEqual" stopIfTrue="1">
      <formula>3</formula>
    </cfRule>
    <cfRule type="cellIs" priority="15" dxfId="5" operator="greaterThanOrEqual" stopIfTrue="1">
      <formula>1.4</formula>
    </cfRule>
    <cfRule type="cellIs" priority="16" dxfId="13" operator="lessThan" stopIfTrue="1">
      <formula>0</formula>
    </cfRule>
  </conditionalFormatting>
  <conditionalFormatting sqref="H1:H65536">
    <cfRule type="cellIs" priority="17" dxfId="9" operator="greaterThanOrEqual" stopIfTrue="1">
      <formula>2</formula>
    </cfRule>
    <cfRule type="cellIs" priority="18" dxfId="10" operator="equal" stopIfTrue="1">
      <formula>1</formula>
    </cfRule>
  </conditionalFormatting>
  <conditionalFormatting sqref="I1:I65536">
    <cfRule type="cellIs" priority="19" dxfId="10" operator="equal" stopIfTrue="1">
      <formula>1</formula>
    </cfRule>
    <cfRule type="cellIs" priority="20" dxfId="9" operator="greaterThan" stopIfTrue="1">
      <formula>1</formula>
    </cfRule>
  </conditionalFormatting>
  <conditionalFormatting sqref="F1:F65536">
    <cfRule type="cellIs" priority="21" dxfId="6" operator="greaterThanOrEqual" stopIfTrue="1">
      <formula>4</formula>
    </cfRule>
    <cfRule type="cellIs" priority="22" dxfId="5" operator="greaterThanOrEqual" stopIfTrue="1">
      <formula>2</formula>
    </cfRule>
  </conditionalFormatting>
  <conditionalFormatting sqref="E1:E65536">
    <cfRule type="cellIs" priority="23" dxfId="6" operator="greaterThanOrEqual" stopIfTrue="1">
      <formula>2.5</formula>
    </cfRule>
    <cfRule type="cellIs" priority="24" dxfId="5" operator="greaterThanOrEqual" stopIfTrue="1">
      <formula>1.5</formula>
    </cfRule>
    <cfRule type="cellIs" priority="25" dxfId="1" operator="greaterThanOrEqual" stopIfTrue="1">
      <formula>0.8</formula>
    </cfRule>
  </conditionalFormatting>
  <conditionalFormatting sqref="L54:L83">
    <cfRule type="cellIs" priority="3" dxfId="1" operator="greaterThan" stopIfTrue="1">
      <formula>18</formula>
    </cfRule>
    <cfRule type="cellIs" priority="4" dxfId="0" operator="lessThanOrEqual" stopIfTrue="1">
      <formula>0</formula>
    </cfRule>
  </conditionalFormatting>
  <conditionalFormatting sqref="L2:L53">
    <cfRule type="cellIs" priority="1" dxfId="1" operator="greaterThan" stopIfTrue="1">
      <formula>18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3:Q7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M30" sqref="M30"/>
    </sheetView>
  </sheetViews>
  <sheetFormatPr defaultColWidth="9.140625" defaultRowHeight="15"/>
  <cols>
    <col min="1" max="1" width="6.00390625" style="0" customWidth="1"/>
    <col min="2" max="2" width="7.8515625" style="0" customWidth="1"/>
    <col min="4" max="4" width="7.421875" style="0" customWidth="1"/>
    <col min="5" max="5" width="7.00390625" style="0" customWidth="1"/>
    <col min="6" max="6" width="7.28125" style="0" customWidth="1"/>
  </cols>
  <sheetData>
    <row r="3" spans="1:16" ht="15.75" thickBot="1">
      <c r="A3" s="31" t="s">
        <v>48</v>
      </c>
      <c r="B3" s="13" t="s">
        <v>15</v>
      </c>
      <c r="C3" s="25" t="s">
        <v>18</v>
      </c>
      <c r="D3" s="21" t="s">
        <v>5</v>
      </c>
      <c r="E3" s="21" t="s">
        <v>6</v>
      </c>
      <c r="F3" s="21" t="s">
        <v>7</v>
      </c>
      <c r="G3" s="22" t="s">
        <v>35</v>
      </c>
      <c r="H3" s="22" t="s">
        <v>36</v>
      </c>
      <c r="I3" s="22" t="s">
        <v>37</v>
      </c>
      <c r="J3" s="7" t="s">
        <v>9</v>
      </c>
      <c r="K3" s="7" t="s">
        <v>10</v>
      </c>
      <c r="L3" s="8" t="s">
        <v>19</v>
      </c>
      <c r="M3" s="18" t="s">
        <v>12</v>
      </c>
      <c r="N3" s="29" t="s">
        <v>21</v>
      </c>
      <c r="O3" s="29" t="s">
        <v>22</v>
      </c>
      <c r="P3" t="s">
        <v>50</v>
      </c>
    </row>
    <row r="4" spans="1:17" ht="15">
      <c r="A4">
        <f>Averages!A4</f>
        <v>3260</v>
      </c>
      <c r="B4">
        <f ca="1">(INDIRECT("'Averages'!B4")-Averages!$B2)/STDEV(INDIRECT("'Averages'!$B4"):INDIRECT("'Averages'!$B444"))</f>
        <v>-0.8663149959690197</v>
      </c>
      <c r="C4">
        <f ca="1">(INDIRECT("'Averages'!C4")-Averages!$C2)/STDEV(INDIRECT("'Averages'!$C4"):INDIRECT("'Averages'!$C444"))</f>
        <v>0</v>
      </c>
      <c r="D4">
        <f ca="1">(INDIRECT("'Averages'!d4")-Averages!D$2)/STDEV(INDIRECT("'Averages'!d$4"):INDIRECT("'Averages'!d$444"))</f>
        <v>-0.07465546359853419</v>
      </c>
      <c r="E4">
        <f ca="1">((INDIRECT("'Averages'!E4")-Averages!E$2)/STDEV(INDIRECT("'Averages'!e$4"):INDIRECT("'Averages'!e$444")))</f>
        <v>0</v>
      </c>
      <c r="F4">
        <f ca="1">((INDIRECT("'Averages'!f4")-Averages!F$2)/STDEV(INDIRECT("'Averages'!f$4"):INDIRECT("'Averages'!f$444")))</f>
        <v>0</v>
      </c>
      <c r="G4">
        <f ca="1">((INDIRECT("'Averages'!g4")-Averages!G$2)/STDEV(INDIRECT("'Averages'!g$4"):INDIRECT("'Averages'!g$444")))</f>
        <v>-0.49102277528862803</v>
      </c>
      <c r="H4">
        <f ca="1">(INDIRECT("'Averages'!h4")-Averages!H$2)/STDEV(INDIRECT("'Averages'!h$4"):INDIRECT("'Averages'!h$444"))</f>
        <v>-0.5187671089644413</v>
      </c>
      <c r="I4">
        <f ca="1">(INDIRECT("'Averages'!i4")-Averages!I$2)/STDEV(INDIRECT("'Averages'!i$4"):INDIRECT("'Averages'!i$444"))</f>
        <v>-0.7701076797524309</v>
      </c>
      <c r="J4">
        <f ca="1">(INDIRECT("'Averages'!j4")-Averages!J$2)/STDEV(INDIRECT("'Averages'!j$4"):INDIRECT("'Averages'!j$444"))</f>
        <v>0</v>
      </c>
      <c r="K4">
        <f ca="1">(INDIRECT("'Averages'!k4")-Averages!K$2)/STDEV(INDIRECT("'Averages'!k$4"):INDIRECT("'Averages'!k$444"))</f>
        <v>0</v>
      </c>
      <c r="L4">
        <f ca="1">(INDIRECT("'Averages'!L4")-Averages!L$2)/STDEV(INDIRECT("'Averages'!L$4"):INDIRECT("'Averages'!L$444"))</f>
        <v>0</v>
      </c>
      <c r="M4">
        <f ca="1">(INDIRECT("'Averages'!m4")-Averages!M$2)/STDEV(INDIRECT("'Averages'!m$4"):INDIRECT("'Averages'!m$444"))</f>
        <v>-1.4791023401342216</v>
      </c>
      <c r="N4">
        <f ca="1">(INDIRECT("'Averages'!n4")-Averages!N$2)/STDEV(INDIRECT("'Averages'!n$4"):INDIRECT("'Averages'!n$444"))</f>
        <v>-0.16232598171108115</v>
      </c>
      <c r="O4">
        <f ca="1">(INDIRECT("'Averages'!o4")-Averages!O$2)/STDEV(INDIRECT("'Averages'!o$4"):INDIRECT("'Averages'!o$444"))</f>
        <v>-0.5072417039554308</v>
      </c>
      <c r="P4">
        <f aca="true" t="shared" si="0" ref="P4:P67">-B4-C4+D4+E4+F4+G4+H4+I4-J4+0.5*K4+L4-M4+N4+O4</f>
        <v>-0.178703377167305</v>
      </c>
      <c r="Q4">
        <f>MAX(B4,C4,D4,E4,F4,G4,H4,I4,J4,K4,L4,M4,N4,O4)/P4</f>
        <v>0</v>
      </c>
    </row>
    <row r="5" spans="1:17" ht="15">
      <c r="A5">
        <f>Averages!A5</f>
        <v>3193</v>
      </c>
      <c r="B5">
        <f ca="1">(INDIRECT("'Averages'!B5")-Averages!B$2)/STDEV(INDIRECT("'Averages'!$B4"):INDIRECT("'Averages'!$B444"))</f>
        <v>-0.8663149959690197</v>
      </c>
      <c r="C5">
        <f ca="1">(INDIRECT("'Averages'!$C5")-Averages!$C$2)/STDEV(INDIRECT("'Averages'!$C4"):INDIRECT("'Averages'!$C444"))</f>
        <v>0</v>
      </c>
      <c r="D5">
        <f ca="1">(INDIRECT("'Averages'!d5")-Averages!$D$2)/STDEV(INDIRECT("'Averages'!$d4"):INDIRECT("'Averages'!$d444"))</f>
        <v>-0.07465546359853419</v>
      </c>
      <c r="E5">
        <f ca="1">((INDIRECT("'Averages'!E5")-Averages!E$2)/STDEV(INDIRECT("'Averages'!e$4"):INDIRECT("'Averages'!e$444")))</f>
        <v>0</v>
      </c>
      <c r="F5">
        <f ca="1">((INDIRECT("'Averages'!f5")-Averages!F$2)/STDEV(INDIRECT("'Averages'!f$4"):INDIRECT("'Averages'!f$444")))</f>
        <v>0</v>
      </c>
      <c r="G5">
        <f ca="1">((INDIRECT("'Averages'!g5")-Averages!G$2)/STDEV(INDIRECT("'Averages'!g$4"):INDIRECT("'Averages'!g$444")))</f>
        <v>1.6367425842954262</v>
      </c>
      <c r="H5">
        <f ca="1">(INDIRECT("'Averages'!h5")-Averages!H$2)/STDEV(INDIRECT("'Averages'!h$4"):INDIRECT("'Averages'!h$444"))</f>
        <v>-0.12969177724111036</v>
      </c>
      <c r="I5">
        <f ca="1">(INDIRECT("'Averages'!i5")-Averages!I$2)/STDEV(INDIRECT("'Averages'!i$4"):INDIRECT("'Averages'!i$444"))</f>
        <v>0.4900685234788198</v>
      </c>
      <c r="J5">
        <f ca="1">(INDIRECT("'Averages'!j5")-Averages!J$2)/STDEV(INDIRECT("'Averages'!j$4"):INDIRECT("'Averages'!j$444"))</f>
        <v>0</v>
      </c>
      <c r="K5">
        <f ca="1">(INDIRECT("'Averages'!k5")-Averages!K$2)/STDEV(INDIRECT("'Averages'!k$4"):INDIRECT("'Averages'!k$444"))</f>
        <v>0</v>
      </c>
      <c r="L5">
        <f ca="1">(INDIRECT("'Averages'!L5")-Averages!L$2)/STDEV(INDIRECT("'Averages'!L$4"):INDIRECT("'Averages'!L$444"))</f>
        <v>0</v>
      </c>
      <c r="M5">
        <f ca="1">(INDIRECT("'Averages'!m5")-Averages!M$2)/STDEV(INDIRECT("'Averages'!m$4"):INDIRECT("'Averages'!m$444"))</f>
        <v>-0.2113003343048886</v>
      </c>
      <c r="N5">
        <f>(Averages!N79-Averages!N2)/STDEV(Averages!N78:N550)</f>
        <v>-0.23492049286746977</v>
      </c>
      <c r="O5">
        <f>(Averages!O79-Averages!O2)/STDEV(Averages!O78:O550)</f>
        <v>-1.7614096918559579</v>
      </c>
      <c r="P5">
        <f t="shared" si="0"/>
        <v>1.0037490124850823</v>
      </c>
      <c r="Q5" t="e">
        <f ca="1">STDEV(INDIRECT("'Averages'!B4"):INDIRECT("'Average'!B549"))</f>
        <v>#REF!</v>
      </c>
    </row>
    <row r="6" spans="1:16" ht="15">
      <c r="A6">
        <f>Averages!A6</f>
        <v>3138</v>
      </c>
      <c r="B6">
        <f ca="1">(INDIRECT("'Averages'!B6")-Averages!B$2)/STDEV(INDIRECT("'Averages'!$B4"):INDIRECT("'Averages'!$B444"))</f>
        <v>-0.8663149959690197</v>
      </c>
      <c r="C6">
        <f ca="1">(INDIRECT("'Averages'!$C6")-Averages!$C$2)/STDEV(INDIRECT("'Averages'!$C4"):INDIRECT("'Averages'!$C444"))</f>
        <v>0</v>
      </c>
      <c r="D6">
        <f ca="1">(INDIRECT("'Averages'!d6")-Averages!$D$2)/STDEV(INDIRECT("'Averages'!$d4"):INDIRECT("'Averages'!$d444"))</f>
        <v>0.821210099583876</v>
      </c>
      <c r="E6">
        <f ca="1">((INDIRECT("'Averages'!E6")-Averages!E$2)/STDEV(INDIRECT("'Averages'!e$4"):INDIRECT("'Averages'!e$444")))</f>
        <v>1.2380025621753283</v>
      </c>
      <c r="F6">
        <f ca="1">((INDIRECT("'Averages'!f6")-Averages!F$2)/STDEV(INDIRECT("'Averages'!f$4"):INDIRECT("'Averages'!f$444")))</f>
        <v>0.668071952529676</v>
      </c>
      <c r="G6">
        <f ca="1">((INDIRECT("'Averages'!g6")-Averages!G$2)/STDEV(INDIRECT("'Averages'!g$4"):INDIRECT("'Averages'!g$444")))</f>
        <v>0.16367425842954256</v>
      </c>
      <c r="H6">
        <f ca="1">(INDIRECT("'Averages'!h6")-Averages!H$2)/STDEV(INDIRECT("'Averages'!h$4"):INDIRECT("'Averages'!h$444"))</f>
        <v>0.25938355448222067</v>
      </c>
      <c r="I6">
        <f ca="1">(INDIRECT("'Averages'!i6")-Averages!I$2)/STDEV(INDIRECT("'Averages'!i$4"):INDIRECT("'Averages'!i$444"))</f>
        <v>3.430479664351738</v>
      </c>
      <c r="J6">
        <f ca="1">(INDIRECT("'Averages'!j6")-Averages!J$2)/STDEV(INDIRECT("'Averages'!j$4"):INDIRECT("'Averages'!j$444"))</f>
        <v>0</v>
      </c>
      <c r="K6">
        <f ca="1">(INDIRECT("'Averages'!k6")-Averages!K$2)/STDEV(INDIRECT("'Averages'!k$4"):INDIRECT("'Averages'!k$444"))</f>
        <v>0</v>
      </c>
      <c r="L6">
        <f ca="1">(INDIRECT("'Averages'!L6")-Averages!L$2)/STDEV(INDIRECT("'Averages'!L$4"):INDIRECT("'Averages'!L$444"))</f>
        <v>0</v>
      </c>
      <c r="M6">
        <f ca="1">(INDIRECT("'Averages'!m6")-Averages!M$2)/STDEV(INDIRECT("'Averages'!m$4"):INDIRECT("'Averages'!m$444"))</f>
        <v>-0.8452013372195551</v>
      </c>
      <c r="N6">
        <f>(Averages!N80-Averages!N2)/STDEV(Averages!N78:N550)</f>
        <v>-0.23492049286746977</v>
      </c>
      <c r="O6">
        <f>(Averages!O80-Averages!O2)/STDEV(Averages!O78:O550)</f>
        <v>-1.7614096918559579</v>
      </c>
      <c r="P6">
        <f t="shared" si="0"/>
        <v>6.296008240017528</v>
      </c>
    </row>
    <row r="7" spans="1:16" ht="15">
      <c r="A7">
        <f>Averages!A7</f>
        <v>3062</v>
      </c>
      <c r="B7">
        <f ca="1">(INDIRECT("'Averages'!B7")-Averages!B$2)/STDEV(INDIRECT("'Averages'!$B4"):INDIRECT("'Averages'!$B444"))</f>
        <v>1.7326299919380395</v>
      </c>
      <c r="C7">
        <f ca="1">(INDIRECT("'Averages'!$C7")-Averages!$C$2)/STDEV(INDIRECT("'Averages'!$C4"):INDIRECT("'Averages'!$C444"))</f>
        <v>0</v>
      </c>
      <c r="D7">
        <f ca="1">(INDIRECT("'Averages'!d7")-Averages!$D$2)/STDEV(INDIRECT("'Averages'!$d4"):INDIRECT("'Averages'!$d444"))</f>
        <v>-0.07465546359853419</v>
      </c>
      <c r="E7">
        <f ca="1">((INDIRECT("'Averages'!E7")-Averages!E$2)/STDEV(INDIRECT("'Averages'!e$4"):INDIRECT("'Averages'!e$444")))</f>
        <v>0</v>
      </c>
      <c r="F7">
        <f ca="1">((INDIRECT("'Averages'!f7")-Averages!F$2)/STDEV(INDIRECT("'Averages'!f$4"):INDIRECT("'Averages'!f$444")))</f>
        <v>0</v>
      </c>
      <c r="G7">
        <f ca="1">((INDIRECT("'Averages'!g7")-Averages!G$2)/STDEV(INDIRECT("'Averages'!g$4"):INDIRECT("'Averages'!g$444")))</f>
        <v>-0.49102277528862803</v>
      </c>
      <c r="H7">
        <f ca="1">(INDIRECT("'Averages'!h7")-Averages!H$2)/STDEV(INDIRECT("'Averages'!h$4"):INDIRECT("'Averages'!h$444"))</f>
        <v>0.12969177724111028</v>
      </c>
      <c r="I7">
        <f ca="1">(INDIRECT("'Averages'!i7")-Averages!I$2)/STDEV(INDIRECT("'Averages'!i$4"):INDIRECT("'Averages'!i$444"))</f>
        <v>-0.350048945342014</v>
      </c>
      <c r="J7">
        <f ca="1">(INDIRECT("'Averages'!j7")-Averages!J$2)/STDEV(INDIRECT("'Averages'!j$4"):INDIRECT("'Averages'!j$444"))</f>
        <v>0</v>
      </c>
      <c r="K7">
        <f ca="1">(INDIRECT("'Averages'!k7")-Averages!K$2)/STDEV(INDIRECT("'Averages'!k$4"):INDIRECT("'Averages'!k$444"))</f>
        <v>0</v>
      </c>
      <c r="L7">
        <f ca="1">(INDIRECT("'Averages'!L7")-Averages!L$2)/STDEV(INDIRECT("'Averages'!L$4"):INDIRECT("'Averages'!L$444"))</f>
        <v>0</v>
      </c>
      <c r="M7">
        <f ca="1">(INDIRECT("'Averages'!m7")-Averages!M$2)/STDEV(INDIRECT("'Averages'!m$4"):INDIRECT("'Averages'!m$444"))</f>
        <v>-0.2113003343048886</v>
      </c>
      <c r="N7" t="e">
        <f>(Averages!N112-Averages!N2)/STDEV(Averages!N109:N550)</f>
        <v>#DIV/0!</v>
      </c>
      <c r="O7" t="e">
        <f>(Averages!O112-Averages!O2)/STDEV(Averages!O109:O550)</f>
        <v>#DIV/0!</v>
      </c>
      <c r="P7" t="e">
        <f t="shared" si="0"/>
        <v>#DIV/0!</v>
      </c>
    </row>
    <row r="8" spans="1:16" ht="15">
      <c r="A8">
        <f>Averages!A8</f>
        <v>2809</v>
      </c>
      <c r="B8">
        <f ca="1">(INDIRECT("'Averages'!B8")-Averages!B$2)/STDEV(INDIRECT("'Averages'!$B4"):INDIRECT("'Averages'!$B444"))</f>
        <v>-0.8663149959690197</v>
      </c>
      <c r="C8">
        <f ca="1">(INDIRECT("'Averages'!$C8")-Averages!$C$2)/STDEV(INDIRECT("'Averages'!$C4"):INDIRECT("'Averages'!$C444"))</f>
        <v>0</v>
      </c>
      <c r="D8">
        <f ca="1">(INDIRECT("'Averages'!d8")-Averages!$D$2)/STDEV(INDIRECT("'Averages'!$d4"):INDIRECT("'Averages'!$d444"))</f>
        <v>0.18663865899633547</v>
      </c>
      <c r="E8">
        <f ca="1">((INDIRECT("'Averages'!E8")-Averages!E$2)/STDEV(INDIRECT("'Averages'!e$4"):INDIRECT("'Averages'!e$444")))</f>
        <v>0</v>
      </c>
      <c r="F8">
        <f ca="1">((INDIRECT("'Averages'!f8")-Averages!F$2)/STDEV(INDIRECT("'Averages'!f$4"):INDIRECT("'Averages'!f$444")))</f>
        <v>0</v>
      </c>
      <c r="G8">
        <f ca="1">((INDIRECT("'Averages'!g8")-Averages!G$2)/STDEV(INDIRECT("'Averages'!g$4"):INDIRECT("'Averages'!g$444")))</f>
        <v>1.936812058082921</v>
      </c>
      <c r="H8">
        <f ca="1">(INDIRECT("'Averages'!h8")-Averages!H$2)/STDEV(INDIRECT("'Averages'!h$4"):INDIRECT("'Averages'!h$444"))</f>
        <v>1.9237613624098033</v>
      </c>
      <c r="I8">
        <f ca="1">(INDIRECT("'Averages'!i8")-Averages!I$2)/STDEV(INDIRECT("'Averages'!i$4"):INDIRECT("'Averages'!i$444"))</f>
        <v>-0.03500489453420128</v>
      </c>
      <c r="J8">
        <f ca="1">(INDIRECT("'Averages'!j8")-Averages!J$2)/STDEV(INDIRECT("'Averages'!j$4"):INDIRECT("'Averages'!j$444"))</f>
        <v>0</v>
      </c>
      <c r="K8">
        <f ca="1">(INDIRECT("'Averages'!k8")-Averages!K$2)/STDEV(INDIRECT("'Averages'!k$4"):INDIRECT("'Averages'!k$444"))</f>
        <v>0</v>
      </c>
      <c r="L8">
        <f ca="1">(INDIRECT("'Averages'!L8")-Averages!L$2)/STDEV(INDIRECT("'Averages'!L$4"):INDIRECT("'Averages'!L$444"))</f>
        <v>0</v>
      </c>
      <c r="M8">
        <f ca="1">(INDIRECT("'Averages'!m8")-Averages!M$2)/STDEV(INDIRECT("'Averages'!m$4"):INDIRECT("'Averages'!m$444"))</f>
        <v>-2.1130033430488884</v>
      </c>
      <c r="N8" t="e">
        <f>(Averages!N113-Averages!N2)/STDEV(Averages!N109:N550)</f>
        <v>#DIV/0!</v>
      </c>
      <c r="O8" t="e">
        <f>(Averages!O113-Averages!O2)/STDEV(Averages!O109:O550)</f>
        <v>#DIV/0!</v>
      </c>
      <c r="P8" t="e">
        <f t="shared" si="0"/>
        <v>#DIV/0!</v>
      </c>
    </row>
    <row r="9" spans="1:16" ht="15">
      <c r="A9">
        <f>Averages!A9</f>
        <v>2656</v>
      </c>
      <c r="B9">
        <f ca="1">(INDIRECT("'Averages'!B9")-Averages!B$2)/STDEV(INDIRECT("'Averages'!$B4"):INDIRECT("'Averages'!$B444"))</f>
        <v>2.165787489922549</v>
      </c>
      <c r="C9">
        <f ca="1">(INDIRECT("'Averages'!$C9")-Averages!$C$2)/STDEV(INDIRECT("'Averages'!$C4"):INDIRECT("'Averages'!$C444"))</f>
        <v>0</v>
      </c>
      <c r="D9">
        <f ca="1">(INDIRECT("'Averages'!d9")-Averages!$D$2)/STDEV(INDIRECT("'Averages'!$d4"):INDIRECT("'Averages'!$d444"))</f>
        <v>-0.07465546359853419</v>
      </c>
      <c r="E9">
        <f ca="1">((INDIRECT("'Averages'!E9")-Averages!E$2)/STDEV(INDIRECT("'Averages'!e$4"):INDIRECT("'Averages'!e$444")))</f>
        <v>0</v>
      </c>
      <c r="F9">
        <f ca="1">((INDIRECT("'Averages'!f9")-Averages!F$2)/STDEV(INDIRECT("'Averages'!f$4"):INDIRECT("'Averages'!f$444")))</f>
        <v>0</v>
      </c>
      <c r="G9">
        <f ca="1">((INDIRECT("'Averages'!g9")-Averages!G$2)/STDEV(INDIRECT("'Averages'!g$4"):INDIRECT("'Averages'!g$444")))</f>
        <v>-1.118440765935208</v>
      </c>
      <c r="H9">
        <f ca="1">(INDIRECT("'Averages'!h9")-Averages!H$2)/STDEV(INDIRECT("'Averages'!h$4"):INDIRECT("'Averages'!h$444"))</f>
        <v>-0.6484588862055517</v>
      </c>
      <c r="I9">
        <f ca="1">(INDIRECT("'Averages'!i9")-Averages!I$2)/STDEV(INDIRECT("'Averages'!i$4"):INDIRECT("'Averages'!i$444"))</f>
        <v>-0.7701076797524309</v>
      </c>
      <c r="J9">
        <f ca="1">(INDIRECT("'Averages'!j9")-Averages!J$2)/STDEV(INDIRECT("'Averages'!j$4"):INDIRECT("'Averages'!j$444"))</f>
        <v>0</v>
      </c>
      <c r="K9">
        <f ca="1">(INDIRECT("'Averages'!k9")-Averages!K$2)/STDEV(INDIRECT("'Averages'!k$4"):INDIRECT("'Averages'!k$444"))</f>
        <v>0</v>
      </c>
      <c r="L9">
        <f ca="1">(INDIRECT("'Averages'!L9")-Averages!L$2)/STDEV(INDIRECT("'Averages'!L$4"):INDIRECT("'Averages'!L$444"))</f>
        <v>0</v>
      </c>
      <c r="M9">
        <f ca="1">(INDIRECT("'Averages'!m9")-Averages!M$2)/STDEV(INDIRECT("'Averages'!m$4"):INDIRECT("'Averages'!m$444"))</f>
        <v>-1.373452172981777</v>
      </c>
      <c r="N9" t="e">
        <f>(Averages!N114-Averages!N2)/STDEV(Averages!N109:N550)</f>
        <v>#DIV/0!</v>
      </c>
      <c r="O9" t="e">
        <f>(Averages!O114-Averages!O2)/STDEV(Averages!O109:O550)</f>
        <v>#DIV/0!</v>
      </c>
      <c r="P9" t="e">
        <f t="shared" si="0"/>
        <v>#DIV/0!</v>
      </c>
    </row>
    <row r="10" spans="1:16" ht="15">
      <c r="A10">
        <f>Averages!A10</f>
        <v>2641</v>
      </c>
      <c r="B10">
        <f ca="1">(INDIRECT("'Averages'!B10")-Averages!B$2)/STDEV(INDIRECT("'Averages'!$B4"):INDIRECT("'Averages'!$B444"))</f>
        <v>-0.8663149959690197</v>
      </c>
      <c r="C10">
        <f ca="1">(INDIRECT("'Averages'!$C10")-Averages!$C$2)/STDEV(INDIRECT("'Averages'!$C4"):INDIRECT("'Averages'!$C444"))</f>
        <v>2.135378363758298</v>
      </c>
      <c r="D10">
        <f ca="1">(INDIRECT("'Averages'!d10")-Averages!$D$2)/STDEV(INDIRECT("'Averages'!$d4"):INDIRECT("'Averages'!$d444"))</f>
        <v>0.18663865899633547</v>
      </c>
      <c r="E10">
        <f ca="1">((INDIRECT("'Averages'!E10")-Averages!E$2)/STDEV(INDIRECT("'Averages'!e$4"):INDIRECT("'Averages'!e$444")))</f>
        <v>0</v>
      </c>
      <c r="F10">
        <f ca="1">((INDIRECT("'Averages'!f10")-Averages!F$2)/STDEV(INDIRECT("'Averages'!f$4"):INDIRECT("'Averages'!f$444")))</f>
        <v>0</v>
      </c>
      <c r="G10">
        <f ca="1">((INDIRECT("'Averages'!g10")-Averages!G$2)/STDEV(INDIRECT("'Averages'!g$4"):INDIRECT("'Averages'!g$444")))</f>
        <v>-0.7365341629329419</v>
      </c>
      <c r="H10">
        <f ca="1">(INDIRECT("'Averages'!h10")-Averages!H$2)/STDEV(INDIRECT("'Averages'!h$4"):INDIRECT("'Averages'!h$444"))</f>
        <v>-0.6484588862055517</v>
      </c>
      <c r="I10">
        <f ca="1">(INDIRECT("'Averages'!i10")-Averages!I$2)/STDEV(INDIRECT("'Averages'!i$4"):INDIRECT("'Averages'!i$444"))</f>
        <v>-0.2800391562736112</v>
      </c>
      <c r="J10">
        <f ca="1">(INDIRECT("'Averages'!j10")-Averages!J$2)/STDEV(INDIRECT("'Averages'!j$4"):INDIRECT("'Averages'!j$444"))</f>
        <v>0</v>
      </c>
      <c r="K10">
        <f ca="1">(INDIRECT("'Averages'!k10")-Averages!K$2)/STDEV(INDIRECT("'Averages'!k$4"):INDIRECT("'Averages'!k$444"))</f>
        <v>0</v>
      </c>
      <c r="L10">
        <f ca="1">(INDIRECT("'Averages'!L10")-Averages!L$2)/STDEV(INDIRECT("'Averages'!L$4"):INDIRECT("'Averages'!L$444"))</f>
        <v>0</v>
      </c>
      <c r="M10">
        <f ca="1">(INDIRECT("'Averages'!m10")-Averages!M$2)/STDEV(INDIRECT("'Averages'!m$4"):INDIRECT("'Averages'!m$444"))</f>
        <v>-0.6339010029146663</v>
      </c>
      <c r="N10" t="e">
        <f>(Averages!N115-Averages!N2)/STDEV(Averages!N109:N550)</f>
        <v>#DIV/0!</v>
      </c>
      <c r="O10" t="e">
        <f>(Averages!O115-Averages!O2)/STDEV(Averages!O109:O550)</f>
        <v>#DIV/0!</v>
      </c>
      <c r="P10" t="e">
        <f t="shared" si="0"/>
        <v>#DIV/0!</v>
      </c>
    </row>
    <row r="11" spans="1:16" ht="15">
      <c r="A11">
        <f>Averages!A11</f>
        <v>2618</v>
      </c>
      <c r="B11">
        <f ca="1">(INDIRECT("'Averages'!B11")-Averages!B$2)/STDEV(INDIRECT("'Averages'!$B4"):INDIRECT("'Averages'!$B444"))</f>
        <v>-0.8663149959690197</v>
      </c>
      <c r="C11">
        <f ca="1">(INDIRECT("'Averages'!$C11")-Averages!$C$2)/STDEV(INDIRECT("'Averages'!$C4"):INDIRECT("'Averages'!$C444"))</f>
        <v>0</v>
      </c>
      <c r="D11">
        <f ca="1">(INDIRECT("'Averages'!d11")-Averages!$D$2)/STDEV(INDIRECT("'Averages'!$d4"):INDIRECT("'Averages'!$d444"))</f>
        <v>-0.07465546359853419</v>
      </c>
      <c r="E11">
        <f ca="1">((INDIRECT("'Averages'!E11")-Averages!E$2)/STDEV(INDIRECT("'Averages'!e$4"):INDIRECT("'Averages'!e$444")))</f>
        <v>0</v>
      </c>
      <c r="F11">
        <f ca="1">((INDIRECT("'Averages'!f11")-Averages!F$2)/STDEV(INDIRECT("'Averages'!f$4"):INDIRECT("'Averages'!f$444")))</f>
        <v>0</v>
      </c>
      <c r="G11">
        <f ca="1">((INDIRECT("'Averages'!g11")-Averages!G$2)/STDEV(INDIRECT("'Averages'!g$4"):INDIRECT("'Averages'!g$444")))</f>
        <v>-1.3093940674363411</v>
      </c>
      <c r="H11">
        <f ca="1">(INDIRECT("'Averages'!h11")-Averages!H$2)/STDEV(INDIRECT("'Averages'!h$4"):INDIRECT("'Averages'!h$444"))</f>
        <v>-0.6484588862055517</v>
      </c>
      <c r="I11">
        <f ca="1">(INDIRECT("'Averages'!i11")-Averages!I$2)/STDEV(INDIRECT("'Averages'!i$4"):INDIRECT("'Averages'!i$444"))</f>
        <v>-0.7701076797524309</v>
      </c>
      <c r="J11">
        <f ca="1">(INDIRECT("'Averages'!j11")-Averages!J$2)/STDEV(INDIRECT("'Averages'!j$4"):INDIRECT("'Averages'!j$444"))</f>
        <v>0</v>
      </c>
      <c r="K11">
        <f ca="1">(INDIRECT("'Averages'!k11")-Averages!K$2)/STDEV(INDIRECT("'Averages'!k$4"):INDIRECT("'Averages'!k$444"))</f>
        <v>0</v>
      </c>
      <c r="L11">
        <f ca="1">(INDIRECT("'Averages'!L11")-Averages!L$2)/STDEV(INDIRECT("'Averages'!L$4"):INDIRECT("'Averages'!L$444"))</f>
        <v>0</v>
      </c>
      <c r="M11">
        <f ca="1">(INDIRECT("'Averages'!m11")-Averages!M$2)/STDEV(INDIRECT("'Averages'!m$4"):INDIRECT("'Averages'!m$444"))</f>
        <v>-2.1130033430488884</v>
      </c>
      <c r="N11" t="e">
        <f>(Averages!N116-Averages!N2)/STDEV(Averages!N109:N550)</f>
        <v>#DIV/0!</v>
      </c>
      <c r="O11" t="e">
        <f>(Averages!O116-Averages!O2)/STDEV(Averages!O109:O550)</f>
        <v>#DIV/0!</v>
      </c>
      <c r="P11" t="e">
        <f t="shared" si="0"/>
        <v>#DIV/0!</v>
      </c>
    </row>
    <row r="12" spans="1:16" ht="15">
      <c r="A12">
        <f>Averages!A12</f>
        <v>2614</v>
      </c>
      <c r="B12">
        <f ca="1">(INDIRECT("'Averages'!B12")-Averages!B$2)/STDEV(INDIRECT("'Averages'!$B4"):INDIRECT("'Averages'!$B444"))</f>
        <v>-0.8663149959690197</v>
      </c>
      <c r="C12">
        <f ca="1">(INDIRECT("'Averages'!$C12")-Averages!$C$2)/STDEV(INDIRECT("'Averages'!$C4"):INDIRECT("'Averages'!$C444"))</f>
        <v>0</v>
      </c>
      <c r="D12">
        <f ca="1">(INDIRECT("'Averages'!d12")-Averages!$D$2)/STDEV(INDIRECT("'Averages'!$d4"):INDIRECT("'Averages'!$d444"))</f>
        <v>1.4931092719706838</v>
      </c>
      <c r="E12">
        <f ca="1">((INDIRECT("'Averages'!E12")-Averages!E$2)/STDEV(INDIRECT("'Averages'!e$4"):INDIRECT("'Averages'!e$444")))</f>
        <v>1.3540653023792655</v>
      </c>
      <c r="F12">
        <f ca="1">((INDIRECT("'Averages'!f12")-Averages!F$2)/STDEV(INDIRECT("'Averages'!f$4"):INDIRECT("'Averages'!f$444")))</f>
        <v>2.9228147923173324</v>
      </c>
      <c r="G12">
        <f ca="1">((INDIRECT("'Averages'!g12")-Averages!G$2)/STDEV(INDIRECT("'Averages'!g$4"):INDIRECT("'Averages'!g$444")))</f>
        <v>0.12275569382215679</v>
      </c>
      <c r="H12">
        <f ca="1">(INDIRECT("'Averages'!h12")-Averages!H$2)/STDEV(INDIRECT("'Averages'!h$4"):INDIRECT("'Averages'!h$444"))</f>
        <v>-0.19453766586166552</v>
      </c>
      <c r="I12">
        <f ca="1">(INDIRECT("'Averages'!i12")-Averages!I$2)/STDEV(INDIRECT("'Averages'!i$4"):INDIRECT("'Averages'!i$444"))</f>
        <v>1.067649283293143</v>
      </c>
      <c r="J12">
        <f ca="1">(INDIRECT("'Averages'!j12")-Averages!J$2)/STDEV(INDIRECT("'Averages'!j$4"):INDIRECT("'Averages'!j$444"))</f>
        <v>0</v>
      </c>
      <c r="K12">
        <f ca="1">(INDIRECT("'Averages'!k12")-Averages!K$2)/STDEV(INDIRECT("'Averages'!k$4"):INDIRECT("'Averages'!k$444"))</f>
        <v>0</v>
      </c>
      <c r="L12">
        <f ca="1">(INDIRECT("'Averages'!L12")-Averages!L$2)/STDEV(INDIRECT("'Averages'!L$4"):INDIRECT("'Averages'!L$444"))</f>
        <v>0.9509093273664694</v>
      </c>
      <c r="M12">
        <f ca="1">(INDIRECT("'Averages'!m12")-Averages!M$2)/STDEV(INDIRECT("'Averages'!m$4"):INDIRECT("'Averages'!m$444"))</f>
        <v>-2.1130033430488884</v>
      </c>
      <c r="N12" t="e">
        <f>(Averages!N117-Averages!N2)/STDEV(Averages!N109:N550)</f>
        <v>#DIV/0!</v>
      </c>
      <c r="O12" t="e">
        <f>(Averages!O117-Averages!O2)/STDEV(Averages!O109:O550)</f>
        <v>#DIV/0!</v>
      </c>
      <c r="P12" t="e">
        <f t="shared" si="0"/>
        <v>#DIV/0!</v>
      </c>
    </row>
    <row r="13" spans="1:16" ht="15">
      <c r="A13">
        <f>Averages!A13</f>
        <v>2603</v>
      </c>
      <c r="B13">
        <f ca="1">(INDIRECT("'Averages'!B13")-Averages!B$2)/STDEV(INDIRECT("'Averages'!$B4"):INDIRECT("'Averages'!$B444"))</f>
        <v>-0.8663149959690197</v>
      </c>
      <c r="C13">
        <f ca="1">(INDIRECT("'Averages'!$C13")-Averages!$C$2)/STDEV(INDIRECT("'Averages'!$C4"):INDIRECT("'Averages'!$C444"))</f>
        <v>0</v>
      </c>
      <c r="D13">
        <f ca="1">(INDIRECT("'Averages'!d13")-Averages!$D$2)/STDEV(INDIRECT("'Averages'!$d4"):INDIRECT("'Averages'!$d444"))</f>
        <v>-0.07465546359853419</v>
      </c>
      <c r="E13">
        <f ca="1">((INDIRECT("'Averages'!E13")-Averages!E$2)/STDEV(INDIRECT("'Averages'!e$4"):INDIRECT("'Averages'!e$444")))</f>
        <v>0</v>
      </c>
      <c r="F13">
        <f ca="1">((INDIRECT("'Averages'!f13")-Averages!F$2)/STDEV(INDIRECT("'Averages'!f$4"):INDIRECT("'Averages'!f$444")))</f>
        <v>0</v>
      </c>
      <c r="G13">
        <f ca="1">((INDIRECT("'Averages'!g13")-Averages!G$2)/STDEV(INDIRECT("'Averages'!g$4"):INDIRECT("'Averages'!g$444")))</f>
        <v>-0.32734851685908545</v>
      </c>
      <c r="H13">
        <f ca="1">(INDIRECT("'Averages'!h13")-Averages!H$2)/STDEV(INDIRECT("'Averages'!h$4"):INDIRECT("'Averages'!h$444"))</f>
        <v>-0.6484588862055517</v>
      </c>
      <c r="I13">
        <f ca="1">(INDIRECT("'Averages'!i13")-Averages!I$2)/STDEV(INDIRECT("'Averages'!i$4"):INDIRECT("'Averages'!i$444"))</f>
        <v>-0.14001957813680554</v>
      </c>
      <c r="J13">
        <f ca="1">(INDIRECT("'Averages'!j13")-Averages!J$2)/STDEV(INDIRECT("'Averages'!j$4"):INDIRECT("'Averages'!j$444"))</f>
        <v>0</v>
      </c>
      <c r="K13">
        <f ca="1">(INDIRECT("'Averages'!k13")-Averages!K$2)/STDEV(INDIRECT("'Averages'!k$4"):INDIRECT("'Averages'!k$444"))</f>
        <v>0</v>
      </c>
      <c r="L13">
        <f ca="1">(INDIRECT("'Averages'!L13")-Averages!L$2)/STDEV(INDIRECT("'Averages'!L$4"):INDIRECT("'Averages'!L$444"))</f>
        <v>0</v>
      </c>
      <c r="M13">
        <f ca="1">(INDIRECT("'Averages'!m13")-Averages!M$2)/STDEV(INDIRECT("'Averages'!m$4"):INDIRECT("'Averages'!m$444"))</f>
        <v>1.690402674439111</v>
      </c>
      <c r="N13" t="e">
        <f>(Averages!N118-Averages!N2)/STDEV(Averages!N109:N550)</f>
        <v>#DIV/0!</v>
      </c>
      <c r="O13" t="e">
        <f>(Averages!O118-Averages!O2)/STDEV(Averages!O109:O550)</f>
        <v>#DIV/0!</v>
      </c>
      <c r="P13" t="e">
        <f t="shared" si="0"/>
        <v>#DIV/0!</v>
      </c>
    </row>
    <row r="14" spans="1:16" ht="15">
      <c r="A14">
        <f>Averages!A14</f>
        <v>2544</v>
      </c>
      <c r="B14">
        <f ca="1">(INDIRECT("'Averages'!B14")-Averages!B$2)/STDEV(INDIRECT("'Averages'!$B4"):INDIRECT("'Averages'!$B444"))</f>
        <v>-0.8663149959690197</v>
      </c>
      <c r="C14">
        <f ca="1">(INDIRECT("'Averages'!$C14")-Averages!$C$2)/STDEV(INDIRECT("'Averages'!$C4"):INDIRECT("'Averages'!$C444"))</f>
        <v>0</v>
      </c>
      <c r="D14">
        <f ca="1">(INDIRECT("'Averages'!d14")-Averages!$D$2)/STDEV(INDIRECT("'Averages'!$d4"):INDIRECT("'Averages'!$d444"))</f>
        <v>-0.07465546359853419</v>
      </c>
      <c r="E14">
        <f ca="1">((INDIRECT("'Averages'!E14")-Averages!E$2)/STDEV(INDIRECT("'Averages'!e$4"):INDIRECT("'Averages'!e$444")))</f>
        <v>0</v>
      </c>
      <c r="F14">
        <f ca="1">((INDIRECT("'Averages'!f14")-Averages!F$2)/STDEV(INDIRECT("'Averages'!f$4"):INDIRECT("'Averages'!f$444")))</f>
        <v>0</v>
      </c>
      <c r="G14">
        <f ca="1">((INDIRECT("'Averages'!g14")-Averages!G$2)/STDEV(INDIRECT("'Averages'!g$4"):INDIRECT("'Averages'!g$444")))</f>
        <v>-0.32734851685908545</v>
      </c>
      <c r="H14">
        <f ca="1">(INDIRECT("'Averages'!h14")-Averages!H$2)/STDEV(INDIRECT("'Averages'!h$4"):INDIRECT("'Averages'!h$444"))</f>
        <v>-0.38907533172333103</v>
      </c>
      <c r="I14">
        <f ca="1">(INDIRECT("'Averages'!i14")-Averages!I$2)/STDEV(INDIRECT("'Averages'!i$4"):INDIRECT("'Averages'!i$444"))</f>
        <v>-0.7701076797524309</v>
      </c>
      <c r="J14">
        <f ca="1">(INDIRECT("'Averages'!j14")-Averages!J$2)/STDEV(INDIRECT("'Averages'!j$4"):INDIRECT("'Averages'!j$444"))</f>
        <v>5.8309518948453</v>
      </c>
      <c r="K14">
        <f ca="1">(INDIRECT("'Averages'!k14")-Averages!K$2)/STDEV(INDIRECT("'Averages'!k$4"):INDIRECT("'Averages'!k$444"))</f>
        <v>0</v>
      </c>
      <c r="L14">
        <f ca="1">(INDIRECT("'Averages'!L14")-Averages!L$2)/STDEV(INDIRECT("'Averages'!L$4"):INDIRECT("'Averages'!L$444"))</f>
        <v>0</v>
      </c>
      <c r="M14">
        <f ca="1">(INDIRECT("'Averages'!m14")-Averages!M$2)/STDEV(INDIRECT("'Averages'!m$4"):INDIRECT("'Averages'!m$444"))</f>
        <v>-0.2113003343048886</v>
      </c>
      <c r="N14" t="e">
        <f>(Averages!N119-Averages!N2)/STDEV(Averages!N109:N550)</f>
        <v>#DIV/0!</v>
      </c>
      <c r="O14" t="e">
        <f>(Averages!O119-Averages!O2)/STDEV(Averages!O109:O550)</f>
        <v>#DIV/0!</v>
      </c>
      <c r="P14" t="e">
        <f t="shared" si="0"/>
        <v>#DIV/0!</v>
      </c>
    </row>
    <row r="15" spans="1:16" ht="15">
      <c r="A15">
        <f>Averages!A15</f>
        <v>2279</v>
      </c>
      <c r="B15">
        <f ca="1">(INDIRECT("'Averages'!B15")-Averages!B$2)/STDEV(INDIRECT("'Averages'!$B4"):INDIRECT("'Averages'!$B444"))</f>
        <v>-0.8663149959690197</v>
      </c>
      <c r="C15">
        <f ca="1">(INDIRECT("'Averages'!$C15")-Averages!$C$2)/STDEV(INDIRECT("'Averages'!$C4"):INDIRECT("'Averages'!$C444"))</f>
        <v>0</v>
      </c>
      <c r="D15">
        <f ca="1">(INDIRECT("'Averages'!d15")-Averages!$D$2)/STDEV(INDIRECT("'Averages'!$d4"):INDIRECT("'Averages'!$d444"))</f>
        <v>-0.07465546359853419</v>
      </c>
      <c r="E15">
        <f ca="1">((INDIRECT("'Averages'!E15")-Averages!E$2)/STDEV(INDIRECT("'Averages'!e$4"):INDIRECT("'Averages'!e$444")))</f>
        <v>0</v>
      </c>
      <c r="F15">
        <f ca="1">((INDIRECT("'Averages'!f15")-Averages!F$2)/STDEV(INDIRECT("'Averages'!f$4"):INDIRECT("'Averages'!f$444")))</f>
        <v>0</v>
      </c>
      <c r="G15">
        <f ca="1">((INDIRECT("'Averages'!g15")-Averages!G$2)/STDEV(INDIRECT("'Averages'!g$4"):INDIRECT("'Averages'!g$444")))</f>
        <v>-1.3093940674363411</v>
      </c>
      <c r="H15">
        <f ca="1">(INDIRECT("'Averages'!h15")-Averages!H$2)/STDEV(INDIRECT("'Averages'!h$4"):INDIRECT("'Averages'!h$444"))</f>
        <v>-0.6484588862055517</v>
      </c>
      <c r="I15">
        <f ca="1">(INDIRECT("'Averages'!i15")-Averages!I$2)/STDEV(INDIRECT("'Averages'!i$4"):INDIRECT("'Averages'!i$444"))</f>
        <v>-0.7701076797524309</v>
      </c>
      <c r="J15">
        <f ca="1">(INDIRECT("'Averages'!j14")-Averages!J$2)/STDEV(INDIRECT("'Averages'!j$4"):INDIRECT("'Averages'!j$444"))</f>
        <v>5.8309518948453</v>
      </c>
      <c r="K15">
        <f ca="1">(INDIRECT("'Averages'!k15")-Averages!K$2)/STDEV(INDIRECT("'Averages'!k$4"):INDIRECT("'Averages'!k$444"))</f>
        <v>0</v>
      </c>
      <c r="L15">
        <f ca="1">(INDIRECT("'Averages'!L15")-Averages!L$2)/STDEV(INDIRECT("'Averages'!L$4"):INDIRECT("'Averages'!L$444"))</f>
        <v>0</v>
      </c>
      <c r="M15">
        <f ca="1">(INDIRECT("'Averages'!m15")-Averages!M$2)/STDEV(INDIRECT("'Averages'!m$4"):INDIRECT("'Averages'!m$444"))</f>
        <v>-1.373452172981777</v>
      </c>
      <c r="N15" t="e">
        <f>(Averages!N120-Averages!N2)/STDEV(Averages!N109:N550)</f>
        <v>#DIV/0!</v>
      </c>
      <c r="O15" t="e">
        <f>(Averages!O120-Averages!O2)/STDEV(Averages!O109:O550)</f>
        <v>#DIV/0!</v>
      </c>
      <c r="P15" t="e">
        <f t="shared" si="0"/>
        <v>#DIV/0!</v>
      </c>
    </row>
    <row r="16" spans="1:16" ht="15">
      <c r="A16">
        <f>Averages!A16</f>
        <v>2252</v>
      </c>
      <c r="B16">
        <f ca="1">(INDIRECT("'Averages'!B16")-Averages!B$2)/STDEV(INDIRECT("'Averages'!$B4"):INDIRECT("'Averages'!$B444"))</f>
        <v>-0.8663149959690197</v>
      </c>
      <c r="C16">
        <f ca="1">(INDIRECT("'Averages'!$C16")-Averages!$C$2)/STDEV(INDIRECT("'Averages'!$C4"):INDIRECT("'Averages'!$C444"))</f>
        <v>0</v>
      </c>
      <c r="D16">
        <f ca="1">(INDIRECT("'Averages'!d16")-Averages!$D$2)/STDEV(INDIRECT("'Averages'!$d4"):INDIRECT("'Averages'!$d444"))</f>
        <v>-0.07465546359853419</v>
      </c>
      <c r="E16">
        <f ca="1">((INDIRECT("'Averages'!E16")-Averages!E$2)/STDEV(INDIRECT("'Averages'!e$4"):INDIRECT("'Averages'!e$444")))</f>
        <v>0</v>
      </c>
      <c r="F16">
        <f ca="1">((INDIRECT("'Averages'!f16")-Averages!F$2)/STDEV(INDIRECT("'Averages'!f$4"):INDIRECT("'Averages'!f$444")))</f>
        <v>0</v>
      </c>
      <c r="G16">
        <f ca="1">((INDIRECT("'Averages'!g16")-Averages!G$2)/STDEV(INDIRECT("'Averages'!g$4"):INDIRECT("'Averages'!g$444")))</f>
        <v>0.9820455505772555</v>
      </c>
      <c r="H16">
        <f ca="1">(INDIRECT("'Averages'!h16")-Averages!H$2)/STDEV(INDIRECT("'Averages'!h$4"):INDIRECT("'Averages'!h$444"))</f>
        <v>1.621147215513879</v>
      </c>
      <c r="I16">
        <f ca="1">(INDIRECT("'Averages'!i16")-Averages!I$2)/STDEV(INDIRECT("'Averages'!i$4"):INDIRECT("'Averages'!i$444"))</f>
        <v>-0.7701076797524309</v>
      </c>
      <c r="J16">
        <f ca="1">(INDIRECT("'Averages'!j15")-Averages!J$2)/STDEV(INDIRECT("'Averages'!j$4"):INDIRECT("'Averages'!j$444"))</f>
        <v>0</v>
      </c>
      <c r="K16">
        <f ca="1">(INDIRECT("'Averages'!k16")-Averages!K$2)/STDEV(INDIRECT("'Averages'!k$4"):INDIRECT("'Averages'!k$444"))</f>
        <v>0</v>
      </c>
      <c r="L16">
        <f ca="1">(INDIRECT("'Averages'!L16")-Averages!L$2)/STDEV(INDIRECT("'Averages'!L$4"):INDIRECT("'Averages'!L$444"))</f>
        <v>0</v>
      </c>
      <c r="M16">
        <f ca="1">(INDIRECT("'Averages'!m16")-Averages!M$2)/STDEV(INDIRECT("'Averages'!m$4"):INDIRECT("'Averages'!m$444"))</f>
        <v>-1.373452172981777</v>
      </c>
      <c r="N16" t="e">
        <f>(Averages!N121-Averages!N2)/STDEV(Averages!N109:N550)</f>
        <v>#DIV/0!</v>
      </c>
      <c r="O16" t="e">
        <f>(Averages!O121-Averages!O2)/STDEV(Averages!O109:O550)</f>
        <v>#DIV/0!</v>
      </c>
      <c r="P16" t="e">
        <f t="shared" si="0"/>
        <v>#DIV/0!</v>
      </c>
    </row>
    <row r="17" spans="1:16" ht="15">
      <c r="A17">
        <f>Averages!A17</f>
        <v>2051</v>
      </c>
      <c r="B17">
        <f ca="1">(INDIRECT("'Averages'!B17")-Averages!B$2)/STDEV(INDIRECT("'Averages'!$B4"):INDIRECT("'Averages'!$B444"))</f>
        <v>-0.8663149959690197</v>
      </c>
      <c r="C17">
        <f ca="1">(INDIRECT("'Averages'!$C17")-Averages!$C$2)/STDEV(INDIRECT("'Averages'!$C4"):INDIRECT("'Averages'!$C444"))</f>
        <v>0</v>
      </c>
      <c r="D17">
        <f ca="1">(INDIRECT("'Averages'!d17")-Averages!$D$2)/STDEV(INDIRECT("'Averages'!$d4"):INDIRECT("'Averages'!$d444"))</f>
        <v>-0.07465546359853419</v>
      </c>
      <c r="E17">
        <f ca="1">((INDIRECT("'Averages'!E17")-Averages!E$2)/STDEV(INDIRECT("'Averages'!e$4"):INDIRECT("'Averages'!e$444")))</f>
        <v>0</v>
      </c>
      <c r="F17">
        <f ca="1">((INDIRECT("'Averages'!f17")-Averages!F$2)/STDEV(INDIRECT("'Averages'!f$4"):INDIRECT("'Averages'!f$444")))</f>
        <v>0</v>
      </c>
      <c r="G17">
        <f ca="1">((INDIRECT("'Averages'!g17")-Averages!G$2)/STDEV(INDIRECT("'Averages'!g$4"):INDIRECT("'Averages'!g$444")))</f>
        <v>2.946136651731767</v>
      </c>
      <c r="H17">
        <f ca="1">(INDIRECT("'Averages'!h17")-Averages!H$2)/STDEV(INDIRECT("'Averages'!h$4"):INDIRECT("'Averages'!h$444"))</f>
        <v>1.1672259951699928</v>
      </c>
      <c r="I17">
        <f ca="1">(INDIRECT("'Averages'!i17")-Averages!I$2)/STDEV(INDIRECT("'Averages'!i$4"):INDIRECT("'Averages'!i$444"))</f>
        <v>-0.14001957813680554</v>
      </c>
      <c r="J17">
        <f ca="1">(INDIRECT("'Averages'!j16")-Averages!J$2)/STDEV(INDIRECT("'Averages'!j$4"):INDIRECT("'Averages'!j$444"))</f>
        <v>0</v>
      </c>
      <c r="K17">
        <f ca="1">(INDIRECT("'Averages'!k17")-Averages!K$2)/STDEV(INDIRECT("'Averages'!k$4"):INDIRECT("'Averages'!k$444"))</f>
        <v>0</v>
      </c>
      <c r="L17">
        <f ca="1">(INDIRECT("'Averages'!L17")-Averages!L$2)/STDEV(INDIRECT("'Averages'!L$4"):INDIRECT("'Averages'!L$444"))</f>
        <v>0</v>
      </c>
      <c r="M17">
        <f ca="1">(INDIRECT("'Averages'!m17")-Averages!M$2)/STDEV(INDIRECT("'Averages'!m$4"):INDIRECT("'Averages'!m$444"))</f>
        <v>-0.8452013372195551</v>
      </c>
      <c r="N17">
        <f>Averages!N122</f>
        <v>0</v>
      </c>
      <c r="O17">
        <f>Averages!O122</f>
        <v>0</v>
      </c>
      <c r="P17">
        <f t="shared" si="0"/>
        <v>5.610203938354995</v>
      </c>
    </row>
    <row r="18" spans="1:16" ht="15">
      <c r="A18">
        <f>Averages!A18</f>
        <v>1990</v>
      </c>
      <c r="B18">
        <f ca="1">(INDIRECT("'Averages'!B18")-Averages!B$2)/STDEV(INDIRECT("'Averages'!$B4"):INDIRECT("'Averages'!$B444"))</f>
        <v>-0.8663149959690197</v>
      </c>
      <c r="C18">
        <f ca="1">(INDIRECT("'Averages'!$C18")-Averages!$C$2)/STDEV(INDIRECT("'Averages'!$C4"):INDIRECT("'Averages'!$C444"))</f>
        <v>0</v>
      </c>
      <c r="D18">
        <f ca="1">(INDIRECT("'Averages'!d18")-Averages!$D$2)/STDEV(INDIRECT("'Averages'!$d4"):INDIRECT("'Averages'!$d444"))</f>
        <v>1.045176490379479</v>
      </c>
      <c r="E18">
        <f ca="1">((INDIRECT("'Averages'!E18")-Averages!E$2)/STDEV(INDIRECT("'Averages'!e$4"):INDIRECT("'Averages'!e$444")))</f>
        <v>1.2380025621753283</v>
      </c>
      <c r="F18">
        <f ca="1">((INDIRECT("'Averages'!f18")-Averages!F$2)/STDEV(INDIRECT("'Averages'!f$4"):INDIRECT("'Averages'!f$444")))</f>
        <v>0</v>
      </c>
      <c r="G18">
        <f ca="1">((INDIRECT("'Averages'!g18")-Averages!G$2)/STDEV(INDIRECT("'Averages'!g$4"):INDIRECT("'Averages'!g$444")))</f>
        <v>1.1457198090067982</v>
      </c>
      <c r="H18">
        <f ca="1">(INDIRECT("'Averages'!h18")-Averages!H$2)/STDEV(INDIRECT("'Averages'!h$4"):INDIRECT("'Averages'!h$444"))</f>
        <v>-0.38907533172333103</v>
      </c>
      <c r="I18">
        <f ca="1">(INDIRECT("'Averages'!i18")-Averages!I$2)/STDEV(INDIRECT("'Averages'!i$4"):INDIRECT("'Averages'!i$444"))</f>
        <v>0.2800391562736114</v>
      </c>
      <c r="J18">
        <f ca="1">(INDIRECT("'Averages'!j18")-Averages!J$2)/STDEV(INDIRECT("'Averages'!j$4"):INDIRECT("'Averages'!j$444"))</f>
        <v>0</v>
      </c>
      <c r="K18">
        <f ca="1">(INDIRECT("'Averages'!k18")-Averages!K$2)/STDEV(INDIRECT("'Averages'!k$4"):INDIRECT("'Averages'!k$444"))</f>
        <v>0</v>
      </c>
      <c r="L18">
        <f ca="1">(INDIRECT("'Averages'!L18")-Averages!L$2)/STDEV(INDIRECT("'Averages'!L$4"):INDIRECT("'Averages'!L$444"))</f>
        <v>0</v>
      </c>
      <c r="M18">
        <f ca="1">(INDIRECT("'Averages'!m18")-Averages!M$2)/STDEV(INDIRECT("'Averages'!m$4"):INDIRECT("'Averages'!m$444"))</f>
        <v>-0.2113003343048886</v>
      </c>
      <c r="N18" t="e">
        <f>(Averages!N123-Averages!N2)/STDEV(Averages!N109:N550)</f>
        <v>#DIV/0!</v>
      </c>
      <c r="O18" t="e">
        <f>(Averages!O123-Averages!O2)/STDEV(Averages!O109:O550)</f>
        <v>#DIV/0!</v>
      </c>
      <c r="P18" t="e">
        <f t="shared" si="0"/>
        <v>#DIV/0!</v>
      </c>
    </row>
    <row r="19" spans="1:16" ht="15">
      <c r="A19">
        <f>Averages!A19</f>
        <v>1743</v>
      </c>
      <c r="B19">
        <f ca="1">(INDIRECT("'Averages'!B19")-Averages!B$2)/STDEV(INDIRECT("'Averages'!$B4"):INDIRECT("'Averages'!$B444"))</f>
        <v>-0.8663149959690197</v>
      </c>
      <c r="C19">
        <f ca="1">(INDIRECT("'Averages'!$C19")-Averages!$C$2)/STDEV(INDIRECT("'Averages'!$C4"):INDIRECT("'Averages'!$C444"))</f>
        <v>0</v>
      </c>
      <c r="D19">
        <f ca="1">(INDIRECT("'Averages'!d19")-Averages!$D$2)/STDEV(INDIRECT("'Averages'!$d4"):INDIRECT("'Averages'!$d444"))</f>
        <v>-0.07465546359853419</v>
      </c>
      <c r="E19">
        <f ca="1">((INDIRECT("'Averages'!E19")-Averages!E$2)/STDEV(INDIRECT("'Averages'!e$4"):INDIRECT("'Averages'!e$444")))</f>
        <v>0</v>
      </c>
      <c r="F19">
        <f ca="1">((INDIRECT("'Averages'!f19")-Averages!F$2)/STDEV(INDIRECT("'Averages'!f$4"):INDIRECT("'Averages'!f$444")))</f>
        <v>0</v>
      </c>
      <c r="G19">
        <f ca="1">((INDIRECT("'Averages'!g19")-Averages!G$2)/STDEV(INDIRECT("'Averages'!g$4"):INDIRECT("'Averages'!g$444")))</f>
        <v>-0.7365341629329419</v>
      </c>
      <c r="H19">
        <f ca="1">(INDIRECT("'Averages'!h19")-Averages!H$2)/STDEV(INDIRECT("'Averages'!h$4"):INDIRECT("'Averages'!h$444"))</f>
        <v>-0.6484588862055517</v>
      </c>
      <c r="I19">
        <f ca="1">(INDIRECT("'Averages'!i19")-Averages!I$2)/STDEV(INDIRECT("'Averages'!i$4"):INDIRECT("'Averages'!i$444"))</f>
        <v>1.435200675902258</v>
      </c>
      <c r="J19">
        <f ca="1">(INDIRECT("'Averages'!j19")-Averages!J$2)/STDEV(INDIRECT("'Averages'!j$4"):INDIRECT("'Averages'!j$444"))</f>
        <v>0</v>
      </c>
      <c r="K19">
        <f ca="1">(INDIRECT("'Averages'!k19")-Averages!K$2)/STDEV(INDIRECT("'Averages'!k$4"):INDIRECT("'Averages'!k$444"))</f>
        <v>0</v>
      </c>
      <c r="L19">
        <f ca="1">(INDIRECT("'Averages'!L19")-Averages!L$2)/STDEV(INDIRECT("'Averages'!L$4"):INDIRECT("'Averages'!L$444"))</f>
        <v>0</v>
      </c>
      <c r="M19">
        <f ca="1">(INDIRECT("'Averages'!m19")-Averages!M$2)/STDEV(INDIRECT("'Averages'!m$4"):INDIRECT("'Averages'!m$444"))</f>
        <v>-1.373452172981777</v>
      </c>
      <c r="N19" t="e">
        <f>(Averages!N124-Averages!N2)/STDEV(Averages!N109:N550)</f>
        <v>#DIV/0!</v>
      </c>
      <c r="O19" t="e">
        <f>(Averages!O124-Averages!O2)/STDEV(Averages!O109:O550)</f>
        <v>#DIV/0!</v>
      </c>
      <c r="P19" t="e">
        <f t="shared" si="0"/>
        <v>#DIV/0!</v>
      </c>
    </row>
    <row r="20" spans="1:16" ht="15">
      <c r="A20">
        <f>Averages!A20</f>
        <v>1708</v>
      </c>
      <c r="B20">
        <f ca="1">(INDIRECT("'Averages'!B20")-Averages!B$2)/STDEV(INDIRECT("'Averages'!$B4"):INDIRECT("'Averages'!$B444"))</f>
        <v>-0.8663149959690197</v>
      </c>
      <c r="C20">
        <f ca="1">(INDIRECT("'Averages'!$C20")-Averages!$C$2)/STDEV(INDIRECT("'Averages'!$C4"):INDIRECT("'Averages'!$C444"))</f>
        <v>0</v>
      </c>
      <c r="D20">
        <f ca="1">(INDIRECT("'Averages'!d20")-Averages!$D$2)/STDEV(INDIRECT("'Averages'!$d4"):INDIRECT("'Averages'!$d444"))</f>
        <v>-0.07465546359853419</v>
      </c>
      <c r="E20">
        <f ca="1">((INDIRECT("'Averages'!E20")-Averages!E$2)/STDEV(INDIRECT("'Averages'!e$4"):INDIRECT("'Averages'!e$444")))</f>
        <v>0</v>
      </c>
      <c r="F20">
        <f ca="1">((INDIRECT("'Averages'!f20")-Averages!F$2)/STDEV(INDIRECT("'Averages'!f$4"):INDIRECT("'Averages'!f$444")))</f>
        <v>0</v>
      </c>
      <c r="G20">
        <f ca="1">((INDIRECT("'Averages'!g20")-Averages!G$2)/STDEV(INDIRECT("'Averages'!g$4"):INDIRECT("'Averages'!g$444")))</f>
        <v>-0.7365341629329419</v>
      </c>
      <c r="H20">
        <f ca="1">(INDIRECT("'Averages'!h20")-Averages!H$2)/STDEV(INDIRECT("'Averages'!h$4"):INDIRECT("'Averages'!h$444"))</f>
        <v>-0.6484588862055517</v>
      </c>
      <c r="I20">
        <f ca="1">(INDIRECT("'Averages'!i20")-Averages!I$2)/STDEV(INDIRECT("'Averages'!i$4"):INDIRECT("'Averages'!i$444"))</f>
        <v>-0.7701076797524309</v>
      </c>
      <c r="J20">
        <f ca="1">(INDIRECT("'Averages'!j20")-Averages!J$2)/STDEV(INDIRECT("'Averages'!j$4"):INDIRECT("'Averages'!j$444"))</f>
        <v>0</v>
      </c>
      <c r="K20">
        <f ca="1">(INDIRECT("'Averages'!k20")-Averages!K$2)/STDEV(INDIRECT("'Averages'!k$4"):INDIRECT("'Averages'!k$444"))</f>
        <v>0</v>
      </c>
      <c r="L20">
        <f ca="1">(INDIRECT("'Averages'!L20")-Averages!L$2)/STDEV(INDIRECT("'Averages'!L$4"):INDIRECT("'Averages'!L$444"))</f>
        <v>0</v>
      </c>
      <c r="M20">
        <f ca="1">(INDIRECT("'Averages'!m20")-Averages!M$2)/STDEV(INDIRECT("'Averages'!m$4"):INDIRECT("'Averages'!m$444"))</f>
        <v>-2.1130033430488884</v>
      </c>
      <c r="N20" t="e">
        <f>(Averages!N125-Averages!N2)/STDEV(Averages!N109:N550)</f>
        <v>#DIV/0!</v>
      </c>
      <c r="O20" t="e">
        <f>(Averages!O125-Averages!O2)/STDEV(Averages!O109:O550)</f>
        <v>#DIV/0!</v>
      </c>
      <c r="P20" t="e">
        <f t="shared" si="0"/>
        <v>#DIV/0!</v>
      </c>
    </row>
    <row r="21" spans="1:16" ht="15">
      <c r="A21">
        <f>Averages!A21</f>
        <v>1503</v>
      </c>
      <c r="B21">
        <f ca="1">(INDIRECT("'Averages'!B21")-Averages!B$2)/STDEV(INDIRECT("'Averages'!$B4"):INDIRECT("'Averages'!$B444"))</f>
        <v>-0.8663149959690197</v>
      </c>
      <c r="C21">
        <f ca="1">(INDIRECT("'Averages'!$C21")-Averages!$C$2)/STDEV(INDIRECT("'Averages'!$C4"):INDIRECT("'Averages'!$C444"))</f>
        <v>0</v>
      </c>
      <c r="D21">
        <f ca="1">(INDIRECT("'Averages'!d21")-Averages!$D$2)/STDEV(INDIRECT("'Averages'!$d4"):INDIRECT("'Averages'!$d444"))</f>
        <v>-0.07465546359853419</v>
      </c>
      <c r="E21">
        <f ca="1">((INDIRECT("'Averages'!E21")-Averages!E$2)/STDEV(INDIRECT("'Averages'!e$4"):INDIRECT("'Averages'!e$444")))</f>
        <v>0</v>
      </c>
      <c r="F21">
        <f ca="1">((INDIRECT("'Averages'!f21")-Averages!F$2)/STDEV(INDIRECT("'Averages'!f$4"):INDIRECT("'Averages'!f$444")))</f>
        <v>0</v>
      </c>
      <c r="G21">
        <f ca="1">((INDIRECT("'Averages'!g21")-Averages!G$2)/STDEV(INDIRECT("'Averages'!g$4"):INDIRECT("'Averages'!g$444")))</f>
        <v>-0.32734851685908545</v>
      </c>
      <c r="H21">
        <f ca="1">(INDIRECT("'Averages'!h21")-Averages!H$2)/STDEV(INDIRECT("'Averages'!h$4"):INDIRECT("'Averages'!h$444"))</f>
        <v>0.6484588862055517</v>
      </c>
      <c r="I21">
        <f ca="1">(INDIRECT("'Averages'!i21")-Averages!I$2)/STDEV(INDIRECT("'Averages'!i$4"):INDIRECT("'Averages'!i$444"))</f>
        <v>1.3301859922996537</v>
      </c>
      <c r="J21">
        <f ca="1">(INDIRECT("'Averages'!j21")-Averages!J$2)/STDEV(INDIRECT("'Averages'!j$4"):INDIRECT("'Averages'!j$444"))</f>
        <v>0</v>
      </c>
      <c r="K21">
        <f ca="1">(INDIRECT("'Averages'!k21")-Averages!K$2)/STDEV(INDIRECT("'Averages'!k$4"):INDIRECT("'Averages'!k$444"))</f>
        <v>0</v>
      </c>
      <c r="L21">
        <f ca="1">(INDIRECT("'Averages'!L21")-Averages!L$2)/STDEV(INDIRECT("'Averages'!L$4"):INDIRECT("'Averages'!L$444"))</f>
        <v>0</v>
      </c>
      <c r="M21">
        <f ca="1">(INDIRECT("'Averages'!m21")-Averages!M$2)/STDEV(INDIRECT("'Averages'!m$4"):INDIRECT("'Averages'!m$444"))</f>
        <v>-0.8452013372195551</v>
      </c>
      <c r="N21" t="e">
        <f>(Averages!N126-Averages!N2)/STDEV(Averages!N109:N550)</f>
        <v>#DIV/0!</v>
      </c>
      <c r="O21" t="e">
        <f>(Averages!O126-Averages!O2)/STDEV(Averages!O109:O550)</f>
        <v>#DIV/0!</v>
      </c>
      <c r="P21" t="e">
        <f t="shared" si="0"/>
        <v>#DIV/0!</v>
      </c>
    </row>
    <row r="22" spans="1:16" ht="15">
      <c r="A22">
        <f>Averages!A22</f>
        <v>1317</v>
      </c>
      <c r="B22">
        <f ca="1">(INDIRECT("'Averages'!B22")-Averages!B$2)/STDEV(INDIRECT("'Averages'!$B4"):INDIRECT("'Averages'!$B444"))</f>
        <v>1.7326299919380395</v>
      </c>
      <c r="C22">
        <f ca="1">(INDIRECT("'Averages'!$C22")-Averages!$C$2)/STDEV(INDIRECT("'Averages'!$C4"):INDIRECT("'Averages'!$C444"))</f>
        <v>5.490972935378481</v>
      </c>
      <c r="D22">
        <f ca="1">(INDIRECT("'Averages'!d22")-Averages!$D$2)/STDEV(INDIRECT("'Averages'!$d4"):INDIRECT("'Averages'!$d444"))</f>
        <v>-0.07465546359853419</v>
      </c>
      <c r="E22">
        <f ca="1">((INDIRECT("'Averages'!E22")-Averages!E$2)/STDEV(INDIRECT("'Averages'!e$4"):INDIRECT("'Averages'!e$444")))</f>
        <v>0</v>
      </c>
      <c r="F22">
        <f ca="1">((INDIRECT("'Averages'!f22")-Averages!F$2)/STDEV(INDIRECT("'Averages'!f$4"):INDIRECT("'Averages'!f$444")))</f>
        <v>0</v>
      </c>
      <c r="G22">
        <f ca="1">((INDIRECT("'Averages'!g22")-Averages!G$2)/STDEV(INDIRECT("'Averages'!g$4"):INDIRECT("'Averages'!g$444")))</f>
        <v>-0.6546970337181707</v>
      </c>
      <c r="H22">
        <f ca="1">(INDIRECT("'Averages'!h22")-Averages!H$2)/STDEV(INDIRECT("'Averages'!h$4"):INDIRECT("'Averages'!h$444"))</f>
        <v>0.5187671089644414</v>
      </c>
      <c r="I22">
        <f ca="1">(INDIRECT("'Averages'!i22")-Averages!I$2)/STDEV(INDIRECT("'Averages'!i$4"):INDIRECT("'Averages'!i$444"))</f>
        <v>-0.5600783125472224</v>
      </c>
      <c r="J22">
        <f ca="1">(INDIRECT("'Averages'!j22")-Averages!J$2)/STDEV(INDIRECT("'Averages'!j$4"):INDIRECT("'Averages'!j$444"))</f>
        <v>0</v>
      </c>
      <c r="K22">
        <f ca="1">(INDIRECT("'Averages'!k22")-Averages!K$2)/STDEV(INDIRECT("'Averages'!k$4"):INDIRECT("'Averages'!k$444"))</f>
        <v>0</v>
      </c>
      <c r="L22">
        <f ca="1">(INDIRECT("'Averages'!L22")-Averages!L$2)/STDEV(INDIRECT("'Averages'!L$4"):INDIRECT("'Averages'!L$444"))</f>
        <v>0</v>
      </c>
      <c r="M22">
        <f ca="1">(INDIRECT("'Averages'!m22")-Averages!M$2)/STDEV(INDIRECT("'Averages'!m$4"):INDIRECT("'Averages'!m$444"))</f>
        <v>-2.1130033430488884</v>
      </c>
      <c r="N22" t="e">
        <f>(Averages!N127-Averages!N2)/STDEV(Averages!N109:N550)</f>
        <v>#DIV/0!</v>
      </c>
      <c r="O22" t="e">
        <f>(Averages!O127-Averages!O2)/STDEV(Averages!O109:O550)</f>
        <v>#DIV/0!</v>
      </c>
      <c r="P22" t="e">
        <f t="shared" si="0"/>
        <v>#DIV/0!</v>
      </c>
    </row>
    <row r="23" spans="1:16" ht="15">
      <c r="A23">
        <f>Averages!A23</f>
        <v>1279</v>
      </c>
      <c r="B23">
        <f ca="1">(INDIRECT("'Averages'!B23")-Averages!B$2)/STDEV(INDIRECT("'Averages'!$B4"):INDIRECT("'Averages'!$B444"))</f>
        <v>-0.8663149959690197</v>
      </c>
      <c r="C23">
        <f ca="1">(INDIRECT("'Averages'!$C23")-Averages!$C$2)/STDEV(INDIRECT("'Averages'!$C4"):INDIRECT("'Averages'!$C444"))</f>
        <v>0</v>
      </c>
      <c r="D23">
        <f ca="1">(INDIRECT("'Averages'!d23")-Averages!$D$2)/STDEV(INDIRECT("'Averages'!$d4"):INDIRECT("'Averages'!$d444"))</f>
        <v>3.3221681301347714</v>
      </c>
      <c r="E23">
        <f ca="1">((INDIRECT("'Averages'!E23")-Averages!E$2)/STDEV(INDIRECT("'Averages'!e$4"):INDIRECT("'Averages'!e$444")))</f>
        <v>3.610840806344708</v>
      </c>
      <c r="F23">
        <f ca="1">((INDIRECT("'Averages'!f23")-Averages!F$2)/STDEV(INDIRECT("'Averages'!f$4"):INDIRECT("'Averages'!f$444")))</f>
        <v>2.338251833853866</v>
      </c>
      <c r="G23">
        <f ca="1">((INDIRECT("'Averages'!g23")-Averages!G$2)/STDEV(INDIRECT("'Averages'!g$4"):INDIRECT("'Averages'!g$444")))</f>
        <v>0.02727904307159034</v>
      </c>
      <c r="H23">
        <f ca="1">(INDIRECT("'Averages'!h23")-Averages!H$2)/STDEV(INDIRECT("'Averages'!h$4"):INDIRECT("'Averages'!h$444"))</f>
        <v>0.5619977013781446</v>
      </c>
      <c r="I23">
        <f ca="1">(INDIRECT("'Averages'!i23")-Averages!I$2)/STDEV(INDIRECT("'Averages'!i$4"):INDIRECT("'Averages'!i$444"))</f>
        <v>1.6802349376416679</v>
      </c>
      <c r="J23">
        <f ca="1">(INDIRECT("'Averages'!j23")-Averages!J$2)/STDEV(INDIRECT("'Averages'!j$4"):INDIRECT("'Averages'!j$444"))</f>
        <v>0</v>
      </c>
      <c r="K23">
        <f ca="1">(INDIRECT("'Averages'!k23")-Averages!K$2)/STDEV(INDIRECT("'Averages'!k$4"):INDIRECT("'Averages'!k$444"))</f>
        <v>0</v>
      </c>
      <c r="L23">
        <f ca="1">(INDIRECT("'Averages'!L23")-Averages!L$2)/STDEV(INDIRECT("'Averages'!L$4"):INDIRECT("'Averages'!L$444"))</f>
        <v>0</v>
      </c>
      <c r="M23">
        <f ca="1">(INDIRECT("'Averages'!m23")-Averages!M$2)/STDEV(INDIRECT("'Averages'!m$4"):INDIRECT("'Averages'!m$444"))</f>
        <v>-2.1130033430488884</v>
      </c>
      <c r="N23" t="e">
        <f>(Averages!N128-Averages!N2)/STDEV(Averages!N109:N550)</f>
        <v>#DIV/0!</v>
      </c>
      <c r="O23" t="e">
        <f>(Averages!O128-Averages!O2)/STDEV(Averages!O109:O550)</f>
        <v>#DIV/0!</v>
      </c>
      <c r="P23" t="e">
        <f t="shared" si="0"/>
        <v>#DIV/0!</v>
      </c>
    </row>
    <row r="24" spans="1:16" ht="15">
      <c r="A24">
        <f>Averages!A24</f>
        <v>1249</v>
      </c>
      <c r="B24">
        <f ca="1">(INDIRECT("'Averages'!B24")-Averages!B$2)/STDEV(INDIRECT("'Averages'!$B4"):INDIRECT("'Averages'!$B444"))</f>
        <v>-0.8663149959690197</v>
      </c>
      <c r="C24">
        <f ca="1">(INDIRECT("'Averages'!$C24")-Averages!$C$2)/STDEV(INDIRECT("'Averages'!$C4"):INDIRECT("'Averages'!$C444"))</f>
        <v>0</v>
      </c>
      <c r="D24">
        <f ca="1">(INDIRECT("'Averages'!d24")-Averages!$D$2)/STDEV(INDIRECT("'Averages'!$d4"):INDIRECT("'Averages'!$d444"))</f>
        <v>0.14931092719706837</v>
      </c>
      <c r="E24">
        <f ca="1">((INDIRECT("'Averages'!E24")-Averages!E$2)/STDEV(INDIRECT("'Averages'!e$4"):INDIRECT("'Averages'!e$444")))</f>
        <v>0</v>
      </c>
      <c r="F24">
        <f ca="1">((INDIRECT("'Averages'!f24")-Averages!F$2)/STDEV(INDIRECT("'Averages'!f$4"):INDIRECT("'Averages'!f$444")))</f>
        <v>0</v>
      </c>
      <c r="G24">
        <f ca="1">((INDIRECT("'Averages'!g24")-Averages!G$2)/STDEV(INDIRECT("'Averages'!g$4"):INDIRECT("'Averages'!g$444")))</f>
        <v>0.6546970337181702</v>
      </c>
      <c r="H24">
        <f ca="1">(INDIRECT("'Averages'!h24")-Averages!H$2)/STDEV(INDIRECT("'Averages'!h$4"):INDIRECT("'Averages'!h$444"))</f>
        <v>0.6484588862055517</v>
      </c>
      <c r="I24">
        <f ca="1">(INDIRECT("'Averages'!i24")-Averages!I$2)/STDEV(INDIRECT("'Averages'!i$4"):INDIRECT("'Averages'!i$444"))</f>
        <v>-0.350048945342014</v>
      </c>
      <c r="J24">
        <f ca="1">(INDIRECT("'Averages'!j24")-Averages!J$2)/STDEV(INDIRECT("'Averages'!j$4"):INDIRECT("'Averages'!j$444"))</f>
        <v>0</v>
      </c>
      <c r="K24">
        <f ca="1">(INDIRECT("'Averages'!k24")-Averages!K$2)/STDEV(INDIRECT("'Averages'!k$4"):INDIRECT("'Averages'!k$444"))</f>
        <v>0</v>
      </c>
      <c r="L24">
        <f ca="1">(INDIRECT("'Averages'!L24")-Averages!L$2)/STDEV(INDIRECT("'Averages'!L$4"):INDIRECT("'Averages'!L$444"))</f>
        <v>0</v>
      </c>
      <c r="M24">
        <f ca="1">(INDIRECT("'Averages'!m24")-Averages!M$2)/STDEV(INDIRECT("'Averages'!m$4"):INDIRECT("'Averages'!m$444"))</f>
        <v>-2.1130033430488884</v>
      </c>
      <c r="N24" t="e">
        <f>(Averages!N129-Averages!N2)/STDEV(Averages!N109:N550)</f>
        <v>#DIV/0!</v>
      </c>
      <c r="O24" t="e">
        <f>(Averages!O129-Averages!O2)/STDEV(Averages!O109:O550)</f>
        <v>#DIV/0!</v>
      </c>
      <c r="P24" t="e">
        <f t="shared" si="0"/>
        <v>#DIV/0!</v>
      </c>
    </row>
    <row r="25" spans="1:16" ht="15">
      <c r="A25">
        <f>Averages!A25</f>
        <v>1114</v>
      </c>
      <c r="B25">
        <f ca="1">(INDIRECT("'Averages'!B25")-Averages!B$2)/STDEV(INDIRECT("'Averages'!$B4"):INDIRECT("'Averages'!$B444"))</f>
        <v>-0.8663149959690197</v>
      </c>
      <c r="C25">
        <f ca="1">(INDIRECT("'Averages'!$C25")-Averages!$C$2)/STDEV(INDIRECT("'Averages'!$C4"):INDIRECT("'Averages'!$C444"))</f>
        <v>0</v>
      </c>
      <c r="D25">
        <f ca="1">(INDIRECT("'Averages'!d25")-Averages!$D$2)/STDEV(INDIRECT("'Averages'!$d4"):INDIRECT("'Averages'!$d444"))</f>
        <v>4.6286387431091205</v>
      </c>
      <c r="E25">
        <f ca="1">((INDIRECT("'Averages'!E25")-Averages!E$2)/STDEV(INDIRECT("'Averages'!e$4"):INDIRECT("'Averages'!e$444")))</f>
        <v>4.333008967613649</v>
      </c>
      <c r="F25">
        <f ca="1">((INDIRECT("'Averages'!f25")-Averages!F$2)/STDEV(INDIRECT("'Averages'!f$4"):INDIRECT("'Averages'!f$444")))</f>
        <v>4.676503667707732</v>
      </c>
      <c r="G25">
        <f ca="1">((INDIRECT("'Averages'!g25")-Averages!G$2)/STDEV(INDIRECT("'Averages'!g$4"):INDIRECT("'Averages'!g$444")))</f>
        <v>0.818371292147713</v>
      </c>
      <c r="H25">
        <f ca="1">(INDIRECT("'Averages'!h25")-Averages!H$2)/STDEV(INDIRECT("'Averages'!h$4"):INDIRECT("'Averages'!h$444"))</f>
        <v>3.5016779855099784</v>
      </c>
      <c r="I25">
        <f ca="1">(INDIRECT("'Averages'!i25")-Averages!I$2)/STDEV(INDIRECT("'Averages'!i$4"):INDIRECT("'Averages'!i$444"))</f>
        <v>2.590362195530904</v>
      </c>
      <c r="J25">
        <f ca="1">(INDIRECT("'Averages'!j25")-Averages!J$2)/STDEV(INDIRECT("'Averages'!j$4"):INDIRECT("'Averages'!j$444"))</f>
        <v>0</v>
      </c>
      <c r="K25">
        <f ca="1">(INDIRECT("'Averages'!k25")-Averages!K$2)/STDEV(INDIRECT("'Averages'!k$4"):INDIRECT("'Averages'!k$444"))</f>
        <v>0</v>
      </c>
      <c r="L25">
        <f ca="1">(INDIRECT("'Averages'!L25")-Averages!L$2)/STDEV(INDIRECT("'Averages'!L$4"):INDIRECT("'Averages'!L$444"))</f>
        <v>5.433767584951254</v>
      </c>
      <c r="M25">
        <f ca="1">(INDIRECT("'Averages'!m25")-Averages!M$2)/STDEV(INDIRECT("'Averages'!m$4"):INDIRECT("'Averages'!m$444"))</f>
        <v>-0.8452013372195551</v>
      </c>
      <c r="N25" t="e">
        <f>(Averages!N130-Averages!N2)/STDEV(Averages!N109:N550)</f>
        <v>#DIV/0!</v>
      </c>
      <c r="O25" t="e">
        <f>(Averages!O130-Averages!O2)/STDEV(Averages!O109:O550)</f>
        <v>#DIV/0!</v>
      </c>
      <c r="P25" t="e">
        <f t="shared" si="0"/>
        <v>#DIV/0!</v>
      </c>
    </row>
    <row r="26" spans="1:16" ht="15">
      <c r="A26">
        <f>Averages!A26</f>
        <v>1038</v>
      </c>
      <c r="B26">
        <f ca="1">(INDIRECT("'Averages'!B26")-Averages!B$2)/STDEV(INDIRECT("'Averages'!$B4"):INDIRECT("'Averages'!$B444"))</f>
        <v>-0.8663149959690197</v>
      </c>
      <c r="C26">
        <f ca="1">(INDIRECT("'Averages'!$C26")-Averages!$C$2)/STDEV(INDIRECT("'Averages'!$C4"):INDIRECT("'Averages'!$C444"))</f>
        <v>0</v>
      </c>
      <c r="D26">
        <f ca="1">(INDIRECT("'Averages'!d26")-Averages!$D$2)/STDEV(INDIRECT("'Averages'!$d4"):INDIRECT("'Averages'!$d444"))</f>
        <v>0.14931092719706837</v>
      </c>
      <c r="E26">
        <f ca="1">((INDIRECT("'Averages'!E26")-Averages!E$2)/STDEV(INDIRECT("'Averages'!e$4"):INDIRECT("'Averages'!e$444")))</f>
        <v>0</v>
      </c>
      <c r="F26">
        <f ca="1">((INDIRECT("'Averages'!f26")-Averages!F$2)/STDEV(INDIRECT("'Averages'!f$4"):INDIRECT("'Averages'!f$444")))</f>
        <v>0</v>
      </c>
      <c r="G26">
        <f ca="1">((INDIRECT("'Averages'!g26")-Averages!G$2)/STDEV(INDIRECT("'Averages'!g$4"):INDIRECT("'Averages'!g$444")))</f>
        <v>0.818371292147713</v>
      </c>
      <c r="H26">
        <f ca="1">(INDIRECT("'Averages'!h26")-Averages!H$2)/STDEV(INDIRECT("'Averages'!h$4"):INDIRECT("'Averages'!h$444"))</f>
        <v>0.5187671089644414</v>
      </c>
      <c r="I26">
        <f ca="1">(INDIRECT("'Averages'!i26")-Averages!I$2)/STDEV(INDIRECT("'Averages'!i$4"):INDIRECT("'Averages'!i$444"))</f>
        <v>0.4900685234788198</v>
      </c>
      <c r="J26">
        <f ca="1">(INDIRECT("'Averages'!j26")-Averages!J$2)/STDEV(INDIRECT("'Averages'!j$4"):INDIRECT("'Averages'!j$444"))</f>
        <v>0</v>
      </c>
      <c r="K26">
        <f ca="1">(INDIRECT("'Averages'!k26")-Averages!K$2)/STDEV(INDIRECT("'Averages'!k$4"):INDIRECT("'Averages'!k$444"))</f>
        <v>0</v>
      </c>
      <c r="L26">
        <f ca="1">(INDIRECT("'Averages'!L26")-Averages!L$2)/STDEV(INDIRECT("'Averages'!L$4"):INDIRECT("'Averages'!L$444"))</f>
        <v>0</v>
      </c>
      <c r="M26">
        <f ca="1">(INDIRECT("'Averages'!m26")-Averages!M$2)/STDEV(INDIRECT("'Averages'!m$4"):INDIRECT("'Averages'!m$444"))</f>
        <v>-1.4791023401342216</v>
      </c>
      <c r="N26" t="e">
        <f>(Averages!N131-Averages!N2)/STDEV(Averages!N109:N550)</f>
        <v>#DIV/0!</v>
      </c>
      <c r="O26" t="e">
        <f>(Averages!O131-Averages!O2)/STDEV(Averages!O109:O550)</f>
        <v>#DIV/0!</v>
      </c>
      <c r="P26" t="e">
        <f t="shared" si="0"/>
        <v>#DIV/0!</v>
      </c>
    </row>
    <row r="27" spans="1:16" ht="15">
      <c r="A27">
        <f>Averages!A27</f>
        <v>451</v>
      </c>
      <c r="B27">
        <f ca="1">(INDIRECT("'Averages'!B27")-Averages!B$2)/STDEV(INDIRECT("'Averages'!$B4"):INDIRECT("'Averages'!$B444"))</f>
        <v>-0.8663149959690197</v>
      </c>
      <c r="C27">
        <f ca="1">(INDIRECT("'Averages'!$C27")-Averages!$C$2)/STDEV(INDIRECT("'Averages'!$C4"):INDIRECT("'Averages'!$C444"))</f>
        <v>0</v>
      </c>
      <c r="D27">
        <f ca="1">(INDIRECT("'Averages'!d27")-Averages!$D$2)/STDEV(INDIRECT("'Averages'!$d4"):INDIRECT("'Averages'!$d444"))</f>
        <v>0.7092269041860748</v>
      </c>
      <c r="E27">
        <f ca="1">((INDIRECT("'Averages'!E27")-Averages!E$2)/STDEV(INDIRECT("'Averages'!e$4"):INDIRECT("'Averages'!e$444")))</f>
        <v>0.3610840806344708</v>
      </c>
      <c r="F27">
        <f ca="1">((INDIRECT("'Averages'!f27")-Averages!F$2)/STDEV(INDIRECT("'Averages'!f$4"):INDIRECT("'Averages'!f$444")))</f>
        <v>0.7794172779512887</v>
      </c>
      <c r="G27">
        <f ca="1">((INDIRECT("'Averages'!g27")-Averages!G$2)/STDEV(INDIRECT("'Averages'!g$4"):INDIRECT("'Averages'!g$444")))</f>
        <v>0.6001389475749895</v>
      </c>
      <c r="H27">
        <f ca="1">(INDIRECT("'Averages'!h27")-Averages!H$2)/STDEV(INDIRECT("'Averages'!h$4"):INDIRECT("'Averages'!h$444"))</f>
        <v>1.621147215513879</v>
      </c>
      <c r="I27">
        <f ca="1">(INDIRECT("'Averages'!i27")-Averages!I$2)/STDEV(INDIRECT("'Averages'!i$4"):INDIRECT("'Averages'!i$444"))</f>
        <v>0.4550636289446185</v>
      </c>
      <c r="J27">
        <f ca="1">(INDIRECT("'Averages'!j27")-Averages!J$2)/STDEV(INDIRECT("'Averages'!j$4"):INDIRECT("'Averages'!j$444"))</f>
        <v>0</v>
      </c>
      <c r="K27">
        <f ca="1">(INDIRECT("'Averages'!k27")-Averages!K$2)/STDEV(INDIRECT("'Averages'!k$4"):INDIRECT("'Averages'!k$444"))</f>
        <v>0</v>
      </c>
      <c r="L27">
        <f ca="1">(INDIRECT("'Averages'!L27")-Averages!L$2)/STDEV(INDIRECT("'Averages'!L$4"):INDIRECT("'Averages'!L$444"))</f>
        <v>0</v>
      </c>
      <c r="M27">
        <f ca="1">(INDIRECT("'Averages'!m27")-Averages!M$2)/STDEV(INDIRECT("'Averages'!m$4"):INDIRECT("'Averages'!m$444"))</f>
        <v>-2.1130033430488884</v>
      </c>
      <c r="N27" t="e">
        <f>(Averages!N132-Averages!N2)/STDEV(Averages!N109:N550)</f>
        <v>#DIV/0!</v>
      </c>
      <c r="O27" t="e">
        <f>(Averages!O132-Averages!O2)/STDEV(Averages!O109:O550)</f>
        <v>#DIV/0!</v>
      </c>
      <c r="P27" t="e">
        <f t="shared" si="0"/>
        <v>#DIV/0!</v>
      </c>
    </row>
    <row r="28" spans="1:16" ht="15">
      <c r="A28">
        <f>Averages!A28</f>
        <v>433</v>
      </c>
      <c r="B28">
        <f ca="1">(INDIRECT("'Averages'!B28")-Averages!B$2)/STDEV(INDIRECT("'Averages'!$B4"):INDIRECT("'Averages'!$B444"))</f>
        <v>-0.8663149959690197</v>
      </c>
      <c r="C28">
        <f ca="1">(INDIRECT("'Averages'!$C28")-Averages!$C$2)/STDEV(INDIRECT("'Averages'!$C4"):INDIRECT("'Averages'!$C444"))</f>
        <v>0</v>
      </c>
      <c r="D28">
        <f ca="1">(INDIRECT("'Averages'!d28")-Averages!$D$2)/STDEV(INDIRECT("'Averages'!$d4"):INDIRECT("'Averages'!$d444"))</f>
        <v>0.14931092719706837</v>
      </c>
      <c r="E28">
        <f ca="1">((INDIRECT("'Averages'!E28")-Averages!E$2)/STDEV(INDIRECT("'Averages'!e$4"):INDIRECT("'Averages'!e$444")))</f>
        <v>0</v>
      </c>
      <c r="F28">
        <f ca="1">((INDIRECT("'Averages'!f28")-Averages!F$2)/STDEV(INDIRECT("'Averages'!f$4"):INDIRECT("'Averages'!f$444")))</f>
        <v>0.668071952529676</v>
      </c>
      <c r="G28">
        <f ca="1">((INDIRECT("'Averages'!g28")-Averages!G$2)/STDEV(INDIRECT("'Averages'!g$4"):INDIRECT("'Averages'!g$444")))</f>
        <v>-0.6546970337181707</v>
      </c>
      <c r="H28">
        <f ca="1">(INDIRECT("'Averages'!h28")-Averages!H$2)/STDEV(INDIRECT("'Averages'!h$4"):INDIRECT("'Averages'!h$444"))</f>
        <v>-0.2593835544822207</v>
      </c>
      <c r="I28">
        <f ca="1">(INDIRECT("'Averages'!i28")-Averages!I$2)/STDEV(INDIRECT("'Averages'!i$4"):INDIRECT("'Averages'!i$444"))</f>
        <v>0.4900685234788198</v>
      </c>
      <c r="J28">
        <f ca="1">(INDIRECT("'Averages'!j28")-Averages!J$2)/STDEV(INDIRECT("'Averages'!j$4"):INDIRECT("'Averages'!j$444"))</f>
        <v>0</v>
      </c>
      <c r="K28">
        <f ca="1">(INDIRECT("'Averages'!k28")-Averages!K$2)/STDEV(INDIRECT("'Averages'!k$4"):INDIRECT("'Averages'!k$444"))</f>
        <v>0</v>
      </c>
      <c r="L28">
        <f ca="1">(INDIRECT("'Averages'!L28")-Averages!L$2)/STDEV(INDIRECT("'Averages'!L$4"):INDIRECT("'Averages'!L$444"))</f>
        <v>0</v>
      </c>
      <c r="M28">
        <f ca="1">(INDIRECT("'Averages'!m28")-Averages!M$2)/STDEV(INDIRECT("'Averages'!m$4"):INDIRECT("'Averages'!m$444"))</f>
        <v>-2.1130033430488884</v>
      </c>
      <c r="N28" t="e">
        <f>(Averages!N133-Averages!N2)/STDEV(Averages!N109:N550)</f>
        <v>#DIV/0!</v>
      </c>
      <c r="O28" t="e">
        <f>(Averages!O133-Averages!O2)/STDEV(Averages!O109:O550)</f>
        <v>#DIV/0!</v>
      </c>
      <c r="P28" t="e">
        <f t="shared" si="0"/>
        <v>#DIV/0!</v>
      </c>
    </row>
    <row r="29" spans="1:16" ht="15">
      <c r="A29">
        <f>Averages!A29</f>
        <v>337</v>
      </c>
      <c r="B29">
        <f ca="1">(INDIRECT("'Averages'!B29")-Averages!B$2)/STDEV(INDIRECT("'Averages'!$B4"):INDIRECT("'Averages'!$B444"))</f>
        <v>-0.8663149959690197</v>
      </c>
      <c r="C29">
        <f ca="1">(INDIRECT("'Averages'!$C29")-Averages!$C$2)/STDEV(INDIRECT("'Averages'!$C4"):INDIRECT("'Averages'!$C444"))</f>
        <v>0</v>
      </c>
      <c r="D29">
        <f ca="1">(INDIRECT("'Averages'!d29")-Averages!$D$2)/STDEV(INDIRECT("'Averages'!$d4"):INDIRECT("'Averages'!$d444"))</f>
        <v>0.14931092719706837</v>
      </c>
      <c r="E29">
        <f ca="1">((INDIRECT("'Averages'!E29")-Averages!E$2)/STDEV(INDIRECT("'Averages'!e$4"):INDIRECT("'Averages'!e$444")))</f>
        <v>0</v>
      </c>
      <c r="F29">
        <f ca="1">((INDIRECT("'Averages'!f29")-Averages!F$2)/STDEV(INDIRECT("'Averages'!f$4"):INDIRECT("'Averages'!f$444")))</f>
        <v>0</v>
      </c>
      <c r="G29">
        <f ca="1">((INDIRECT("'Averages'!g29")-Averages!G$2)/STDEV(INDIRECT("'Averages'!g$4"):INDIRECT("'Averages'!g$444")))</f>
        <v>-0.1636742584295428</v>
      </c>
      <c r="H29">
        <f ca="1">(INDIRECT("'Averages'!h29")-Averages!H$2)/STDEV(INDIRECT("'Averages'!h$4"):INDIRECT("'Averages'!h$444"))</f>
        <v>0</v>
      </c>
      <c r="I29">
        <f ca="1">(INDIRECT("'Averages'!i29")-Averages!I$2)/STDEV(INDIRECT("'Averages'!i$4"):INDIRECT("'Averages'!i$444"))</f>
        <v>0.2800391562736114</v>
      </c>
      <c r="J29">
        <f ca="1">(INDIRECT("'Averages'!j29")-Averages!J$2)/STDEV(INDIRECT("'Averages'!j$4"):INDIRECT("'Averages'!j$444"))</f>
        <v>0</v>
      </c>
      <c r="K29">
        <f ca="1">(INDIRECT("'Averages'!k29")-Averages!K$2)/STDEV(INDIRECT("'Averages'!k$4"):INDIRECT("'Averages'!k$444"))</f>
        <v>0</v>
      </c>
      <c r="L29">
        <f ca="1">(INDIRECT("'Averages'!L29")-Averages!L$2)/STDEV(INDIRECT("'Averages'!L$4"):INDIRECT("'Averages'!L$444"))</f>
        <v>0</v>
      </c>
      <c r="M29">
        <f ca="1">(INDIRECT("'Averages'!m29")-Averages!M$2)/STDEV(INDIRECT("'Averages'!m$4"):INDIRECT("'Averages'!m$444"))</f>
        <v>-2.1130033430488884</v>
      </c>
      <c r="N29" t="e">
        <f>(Averages!N134-Averages!N2)/STDEV(Averages!N109:N550)</f>
        <v>#DIV/0!</v>
      </c>
      <c r="O29" t="e">
        <f>(Averages!O134-Averages!O2)/STDEV(Averages!O109:O550)</f>
        <v>#DIV/0!</v>
      </c>
      <c r="P29" t="e">
        <f t="shared" si="0"/>
        <v>#DIV/0!</v>
      </c>
    </row>
    <row r="30" spans="1:16" ht="15">
      <c r="A30">
        <f>Averages!A30</f>
        <v>306</v>
      </c>
      <c r="B30">
        <f ca="1">(INDIRECT("'Averages'!B30")-Averages!B$2)/STDEV(INDIRECT("'Averages'!$B4"):INDIRECT("'Averages'!$B444"))</f>
        <v>-0.8663149959690197</v>
      </c>
      <c r="C30">
        <f ca="1">(INDIRECT("'Averages'!$C30")-Averages!$C$2)/STDEV(INDIRECT("'Averages'!$C4"):INDIRECT("'Averages'!$C444"))</f>
        <v>0</v>
      </c>
      <c r="D30">
        <f ca="1">(INDIRECT("'Averages'!d430")-Averages!$D$2)/STDEV(INDIRECT("'Averages'!$d4"):INDIRECT("'Averages'!$d444"))</f>
        <v>-0.07465546359853419</v>
      </c>
      <c r="E30">
        <f ca="1">((INDIRECT("'Averages'!E30")-Averages!E$2)/STDEV(INDIRECT("'Averages'!e$4"):INDIRECT("'Averages'!e$444")))</f>
        <v>0</v>
      </c>
      <c r="F30">
        <f ca="1">((INDIRECT("'Averages'!f30")-Averages!F$2)/STDEV(INDIRECT("'Averages'!f$4"):INDIRECT("'Averages'!f$444")))</f>
        <v>0</v>
      </c>
      <c r="G30">
        <f ca="1">((INDIRECT("'Averages'!g30")-Averages!G$2)/STDEV(INDIRECT("'Averages'!g$4"):INDIRECT("'Averages'!g$444")))</f>
        <v>-1.1457198090067986</v>
      </c>
      <c r="H30">
        <f ca="1">(INDIRECT("'Averages'!h30")-Averages!H$2)/STDEV(INDIRECT("'Averages'!h$4"):INDIRECT("'Averages'!h$444"))</f>
        <v>-0.6484588862055517</v>
      </c>
      <c r="I30">
        <f ca="1">(INDIRECT("'Averages'!i30")-Averages!I$2)/STDEV(INDIRECT("'Averages'!i$4"):INDIRECT("'Averages'!i$444"))</f>
        <v>0.9101272578892367</v>
      </c>
      <c r="J30">
        <f ca="1">(INDIRECT("'Averages'!j30")-Averages!J$2)/STDEV(INDIRECT("'Averages'!j$4"):INDIRECT("'Averages'!j$444"))</f>
        <v>0</v>
      </c>
      <c r="K30">
        <f ca="1">(INDIRECT("'Averages'!k30")-Averages!K$2)/STDEV(INDIRECT("'Averages'!k$4"):INDIRECT("'Averages'!k$444"))</f>
        <v>0</v>
      </c>
      <c r="L30">
        <f ca="1">(INDIRECT("'Averages'!L30")-Averages!L$2)/STDEV(INDIRECT("'Averages'!L$4"):INDIRECT("'Averages'!L$444"))</f>
        <v>0</v>
      </c>
      <c r="M30">
        <f ca="1">(INDIRECT("'Averages'!m2")-Averages!M$2)/STDEV(INDIRECT("'Averages'!m$4"):INDIRECT("'Averages'!m$444"))</f>
        <v>0</v>
      </c>
      <c r="N30">
        <f>Averages!N135</f>
        <v>0</v>
      </c>
      <c r="O30">
        <f>Averages!O135</f>
        <v>0</v>
      </c>
      <c r="P30">
        <f t="shared" si="0"/>
        <v>-0.09239190495262817</v>
      </c>
    </row>
    <row r="31" spans="1:16" ht="15">
      <c r="A31">
        <f>Averages!A31</f>
        <v>222</v>
      </c>
      <c r="B31">
        <f ca="1">(INDIRECT("'Averages'!B31")-Averages!B$2)/STDEV(INDIRECT("'Averages'!$B4"):INDIRECT("'Averages'!$B444"))</f>
        <v>-0.8663149959690197</v>
      </c>
      <c r="C31">
        <f ca="1">(INDIRECT("'Averages'!$C31")-Averages!$C$2)/STDEV(INDIRECT("'Averages'!$C4"):INDIRECT("'Averages'!$C444"))</f>
        <v>0</v>
      </c>
      <c r="D31">
        <f ca="1">(INDIRECT("'Averages'!d31")-Averages!$D$2)/STDEV(INDIRECT("'Averages'!$d4"):INDIRECT("'Averages'!$d444"))</f>
        <v>0.37327731799267094</v>
      </c>
      <c r="E31">
        <f ca="1">((INDIRECT("'Averages'!E31")-Averages!E$2)/STDEV(INDIRECT("'Averages'!e$4"):INDIRECT("'Averages'!e$444")))</f>
        <v>1.2380025621753283</v>
      </c>
      <c r="F31">
        <f ca="1">((INDIRECT("'Averages'!f31")-Averages!F$2)/STDEV(INDIRECT("'Averages'!f$4"):INDIRECT("'Averages'!f$444")))</f>
        <v>0.668071952529676</v>
      </c>
      <c r="G31">
        <f ca="1">((INDIRECT("'Averages'!g31")-Averages!G$2)/STDEV(INDIRECT("'Averages'!g$4"):INDIRECT("'Averages'!g$444")))</f>
        <v>1.1457198090067982</v>
      </c>
      <c r="H31">
        <f ca="1">(INDIRECT("'Averages'!h31")-Averages!H$2)/STDEV(INDIRECT("'Averages'!h$4"):INDIRECT("'Averages'!h$444"))</f>
        <v>0.5187671089644414</v>
      </c>
      <c r="I31">
        <f ca="1">(INDIRECT("'Averages'!i31")-Averages!I$2)/STDEV(INDIRECT("'Averages'!i$4"):INDIRECT("'Averages'!i$444"))</f>
        <v>-0.350048945342014</v>
      </c>
      <c r="J31">
        <f ca="1">(INDIRECT("'Averages'!j31")-Averages!J$2)/STDEV(INDIRECT("'Averages'!j$4"):INDIRECT("'Averages'!j$444"))</f>
        <v>0</v>
      </c>
      <c r="K31">
        <f ca="1">(INDIRECT("'Averages'!k31")-Averages!K$2)/STDEV(INDIRECT("'Averages'!k$4"):INDIRECT("'Averages'!k$444"))</f>
        <v>5.8309518948453</v>
      </c>
      <c r="L31">
        <f ca="1">(INDIRECT("'Averages'!L31")-Averages!L$2)/STDEV(INDIRECT("'Averages'!L$4"):INDIRECT("'Averages'!L$444"))</f>
        <v>2.1735070339805014</v>
      </c>
      <c r="M31">
        <f ca="1">(INDIRECT("'Averages'!m2")-Averages!M$2)/STDEV(INDIRECT("'Averages'!m$4"):INDIRECT("'Averages'!m$444"))</f>
        <v>0</v>
      </c>
      <c r="N31" t="e">
        <f>(Averages!N136-Averages!N2)/STDEV(Averages!N109:N550)</f>
        <v>#DIV/0!</v>
      </c>
      <c r="O31" t="e">
        <f>(Averages!O136-Averages!O2)/STDEV(Averages!O109:O550)</f>
        <v>#DIV/0!</v>
      </c>
      <c r="P31" t="e">
        <f t="shared" si="0"/>
        <v>#DIV/0!</v>
      </c>
    </row>
    <row r="32" spans="1:16" ht="15">
      <c r="A32">
        <f>Averages!A32</f>
        <v>128</v>
      </c>
      <c r="B32">
        <f ca="1">(INDIRECT("'Averages'!B32")-Averages!B$2)/STDEV(INDIRECT("'Averages'!$B4"):INDIRECT("'Averages'!$B444"))</f>
        <v>-0.8663149959690197</v>
      </c>
      <c r="C32">
        <f ca="1">(INDIRECT("'Averages'!$C32")-Averages!$C$2)/STDEV(INDIRECT("'Averages'!$C4"):INDIRECT("'Averages'!$C444"))</f>
        <v>0</v>
      </c>
      <c r="D32">
        <f ca="1">(INDIRECT("'Averages'!d32")-Averages!$D$2)/STDEV(INDIRECT("'Averages'!$d4"):INDIRECT("'Averages'!$d444"))</f>
        <v>0.14931092719706837</v>
      </c>
      <c r="E32">
        <f ca="1">((INDIRECT("'Averages'!E32")-Averages!E$2)/STDEV(INDIRECT("'Averages'!e$4"):INDIRECT("'Averages'!e$444")))</f>
        <v>0</v>
      </c>
      <c r="F32">
        <f ca="1">((INDIRECT("'Averages'!f32")-Averages!F$2)/STDEV(INDIRECT("'Averages'!f$4"):INDIRECT("'Averages'!f$444")))</f>
        <v>0</v>
      </c>
      <c r="G32">
        <f ca="1">((INDIRECT("'Averages'!g32")-Averages!G$2)/STDEV(INDIRECT("'Averages'!g$4"):INDIRECT("'Averages'!g$444")))</f>
        <v>-0.8183712921477132</v>
      </c>
      <c r="H32">
        <f ca="1">(INDIRECT("'Averages'!h32")-Averages!H$2)/STDEV(INDIRECT("'Averages'!h$4"):INDIRECT("'Averages'!h$444"))</f>
        <v>-0.5187671089644413</v>
      </c>
      <c r="I32">
        <f ca="1">(INDIRECT("'Averages'!i32")-Averages!I$2)/STDEV(INDIRECT("'Averages'!i$4"):INDIRECT("'Averages'!i$444"))</f>
        <v>-0.7701076797524309</v>
      </c>
      <c r="J32">
        <f ca="1">(INDIRECT("'Averages'!j32")-Averages!J$2)/STDEV(INDIRECT("'Averages'!j$4"):INDIRECT("'Averages'!j$444"))</f>
        <v>0</v>
      </c>
      <c r="K32">
        <f ca="1">(INDIRECT("'Averages'!k32")-Averages!K$2)/STDEV(INDIRECT("'Averages'!k$4"):INDIRECT("'Averages'!k$444"))</f>
        <v>0</v>
      </c>
      <c r="L32">
        <f ca="1">(INDIRECT("'Averages'!L32")-Averages!L$2)/STDEV(INDIRECT("'Averages'!L$4"):INDIRECT("'Averages'!L$444"))</f>
        <v>0</v>
      </c>
      <c r="M32">
        <f ca="1">(INDIRECT("'Averages'!m2")-Averages!M$2)/STDEV(INDIRECT("'Averages'!m$4"):INDIRECT("'Averages'!m$444"))</f>
        <v>0</v>
      </c>
      <c r="N32" t="e">
        <f>(Averages!N137-Averages!N2)/STDEV(Averages!N109:N550)</f>
        <v>#DIV/0!</v>
      </c>
      <c r="O32" t="e">
        <f>(Averages!O137-Averages!O2)/STDEV(Averages!O109:O550)</f>
        <v>#DIV/0!</v>
      </c>
      <c r="P32" t="e">
        <f t="shared" si="0"/>
        <v>#DIV/0!</v>
      </c>
    </row>
    <row r="33" spans="1:16" ht="15">
      <c r="A33">
        <f>Averages!A33</f>
        <v>117</v>
      </c>
      <c r="B33">
        <f ca="1">(INDIRECT("'Averages'!B33")-Averages!B$2)/STDEV(INDIRECT("'Averages'!$B4"):INDIRECT("'Averages'!$B444"))</f>
        <v>2.165787489922549</v>
      </c>
      <c r="C33">
        <f ca="1">(INDIRECT("'Averages'!$C33")-Averages!$C$2)/STDEV(INDIRECT("'Averages'!$C4"):INDIRECT("'Averages'!$C444"))</f>
        <v>0</v>
      </c>
      <c r="D33">
        <f ca="1">(INDIRECT("'Averages'!d33")-Averages!$D$2)/STDEV(INDIRECT("'Averages'!$d4"):INDIRECT("'Averages'!$d444"))</f>
        <v>-0.07465546359853419</v>
      </c>
      <c r="E33">
        <f ca="1">((INDIRECT("'Averages'!E33")-Averages!E$2)/STDEV(INDIRECT("'Averages'!e$4"):INDIRECT("'Averages'!e$444")))</f>
        <v>0</v>
      </c>
      <c r="F33">
        <f ca="1">((INDIRECT("'Averages'!f33")-Averages!F$2)/STDEV(INDIRECT("'Averages'!f$4"):INDIRECT("'Averages'!f$444")))</f>
        <v>0</v>
      </c>
      <c r="G33">
        <f ca="1">((INDIRECT("'Averages'!g33")-Averages!G$2)/STDEV(INDIRECT("'Averages'!g$4"):INDIRECT("'Averages'!g$444")))</f>
        <v>-0.545580861431809</v>
      </c>
      <c r="H33">
        <f ca="1">(INDIRECT("'Averages'!h33")-Averages!H$2)/STDEV(INDIRECT("'Averages'!h$4"):INDIRECT("'Averages'!h$444"))</f>
        <v>-0.49715181275758963</v>
      </c>
      <c r="I33">
        <f ca="1">(INDIRECT("'Averages'!i33")-Averages!I$2)/STDEV(INDIRECT("'Averages'!i$4"):INDIRECT("'Averages'!i$444"))</f>
        <v>-0.2800391562736112</v>
      </c>
      <c r="J33">
        <f ca="1">(INDIRECT("'Averages'!j33")-Averages!J$2)/STDEV(INDIRECT("'Averages'!j$4"):INDIRECT("'Averages'!j$444"))</f>
        <v>0</v>
      </c>
      <c r="K33">
        <f ca="1">(INDIRECT("'Averages'!k33")-Averages!K$2)/STDEV(INDIRECT("'Averages'!k$4"):INDIRECT("'Averages'!k$444"))</f>
        <v>0</v>
      </c>
      <c r="L33">
        <f ca="1">(INDIRECT("'Averages'!L33")-Averages!L$2)/STDEV(INDIRECT("'Averages'!L$4"):INDIRECT("'Averages'!L$444"))</f>
        <v>0</v>
      </c>
      <c r="M33">
        <f ca="1">(INDIRECT("'Averages'!m2")-Averages!M$2)/STDEV(INDIRECT("'Averages'!m$4"):INDIRECT("'Averages'!m$444"))</f>
        <v>0</v>
      </c>
      <c r="N33" t="e">
        <f>(Averages!N138-Averages!N2)/STDEV(Averages!N109:N550)</f>
        <v>#DIV/0!</v>
      </c>
      <c r="O33" t="e">
        <f>(Averages!O138-Averages!O2)/STDEV(Averages!O109:O550)</f>
        <v>#DIV/0!</v>
      </c>
      <c r="P33" t="e">
        <f t="shared" si="0"/>
        <v>#DIV/0!</v>
      </c>
    </row>
    <row r="34" spans="1:16" ht="15">
      <c r="A34">
        <f>Averages!A34</f>
        <v>63</v>
      </c>
      <c r="B34">
        <f ca="1">(INDIRECT("'Averages'!$B34")-Averages!B$2)/STDEV(INDIRECT("'Averages'!$B4"):INDIRECT("'Averages'!$B444"))</f>
        <v>-0.8663149959690197</v>
      </c>
      <c r="C34">
        <f ca="1">(INDIRECT("'Averages'!$C34")-Averages!$C$2)/STDEV(INDIRECT("'Averages'!$C4"):INDIRECT("'Averages'!$C444"))</f>
        <v>0</v>
      </c>
      <c r="D34">
        <f ca="1">(INDIRECT("'Averages'!d34")-Averages!$D$2)/STDEV(INDIRECT("'Averages'!$d4"):INDIRECT("'Averages'!$d444"))</f>
        <v>0.821210099583876</v>
      </c>
      <c r="E34">
        <f ca="1">((INDIRECT("'Averages'!E34")-Averages!E$2)/STDEV(INDIRECT("'Averages'!e$4"):INDIRECT("'Averages'!e$444")))</f>
        <v>0.6190012810876642</v>
      </c>
      <c r="F34">
        <f ca="1">((INDIRECT("'Averages'!f34")-Averages!F$2)/STDEV(INDIRECT("'Averages'!f$4"):INDIRECT("'Averages'!f$444")))</f>
        <v>0.668071952529676</v>
      </c>
      <c r="G34">
        <f ca="1">((INDIRECT("'Averages'!g34")-Averages!G$2)/STDEV(INDIRECT("'Averages'!g$4"):INDIRECT("'Averages'!g$444")))</f>
        <v>0.9820455505772555</v>
      </c>
      <c r="H34">
        <f ca="1">(INDIRECT("'Averages'!h34")-Averages!H$2)/STDEV(INDIRECT("'Averages'!h$4"):INDIRECT("'Averages'!h$444"))</f>
        <v>2.2047602130988753</v>
      </c>
      <c r="I34">
        <f ca="1">(INDIRECT("'Averages'!i34")-Averages!I$2)/STDEV(INDIRECT("'Averages'!i$4"):INDIRECT("'Averages'!i$444"))</f>
        <v>0.2800391562736114</v>
      </c>
      <c r="J34">
        <f ca="1">(INDIRECT("'Averages'!j34")-Averages!J$2)/STDEV(INDIRECT("'Averages'!j$4"):INDIRECT("'Averages'!j$444"))</f>
        <v>0</v>
      </c>
      <c r="K34">
        <f ca="1">(INDIRECT("'Averages'!k34")-Averages!K$2)/STDEV(INDIRECT("'Averages'!k$4"):INDIRECT("'Averages'!k$444"))</f>
        <v>0</v>
      </c>
      <c r="L34">
        <f ca="1">(INDIRECT("'Averages'!L34")-Averages!L$2)/STDEV(INDIRECT("'Averages'!L$4"):INDIRECT("'Averages'!L$444"))</f>
        <v>0</v>
      </c>
      <c r="M34">
        <f ca="1">(INDIRECT("'Averages'!m2")-Averages!M$2)/STDEV(INDIRECT("'Averages'!m$4"):INDIRECT("'Averages'!m$444"))</f>
        <v>0</v>
      </c>
      <c r="N34" t="e">
        <f>(Averages!N139-Averages!N2)/STDEV(Averages!N109:N550)</f>
        <v>#DIV/0!</v>
      </c>
      <c r="O34" t="e">
        <f>(Averages!O139-Averages!O2)/STDEV(Averages!O109:O550)</f>
        <v>#DIV/0!</v>
      </c>
      <c r="P34" t="e">
        <f t="shared" si="0"/>
        <v>#DIV/0!</v>
      </c>
    </row>
    <row r="35" spans="1:16" ht="15">
      <c r="A35">
        <f>Averages!A35</f>
        <v>0</v>
      </c>
      <c r="B35">
        <f ca="1">(INDIRECT("'Averages'!$B35")-Averages!B$2)/STDEV(INDIRECT("'Averages'!$B4"):INDIRECT("'Averages'!$B444"))</f>
        <v>-0.8663149959690197</v>
      </c>
      <c r="C35">
        <f ca="1">(INDIRECT("'Averages'!$C34")-Averages!$C$2)/STDEV(INDIRECT("'Averages'!$C4"):INDIRECT("'Averages'!$C444"))</f>
        <v>0</v>
      </c>
      <c r="D35">
        <f ca="1">(INDIRECT("'Averages'!d35")-Averages!$D$2)/STDEV(INDIRECT("'Averages'!$d4"):INDIRECT("'Averages'!$d444"))</f>
        <v>-0.07465546359853419</v>
      </c>
      <c r="E35">
        <f ca="1">((INDIRECT("'Averages'!E35")-Averages!E$2)/STDEV(INDIRECT("'Averages'!e$4"):INDIRECT("'Averages'!e$444")))</f>
        <v>0</v>
      </c>
      <c r="F35">
        <f ca="1">((INDIRECT("'Averages'!f35")-Averages!F$2)/STDEV(INDIRECT("'Averages'!f$4"):INDIRECT("'Averages'!f$444")))</f>
        <v>0</v>
      </c>
      <c r="G35">
        <f ca="1">((INDIRECT("'Averages'!g35")-Averages!G$2)/STDEV(INDIRECT("'Averages'!g$4"):INDIRECT("'Averages'!g$444")))</f>
        <v>-1.3093940674363411</v>
      </c>
      <c r="H35">
        <f ca="1">(INDIRECT("'Averages'!h35")-Averages!H$2)/STDEV(INDIRECT("'Averages'!h$4"):INDIRECT("'Averages'!h$444"))</f>
        <v>-0.6484588862055517</v>
      </c>
      <c r="I35">
        <f ca="1">(INDIRECT("'Averages'!i35")-Averages!I$2)/STDEV(INDIRECT("'Averages'!i$4"):INDIRECT("'Averages'!i$444"))</f>
        <v>-0.7701076797524309</v>
      </c>
      <c r="J35">
        <f ca="1">(INDIRECT("'Averages'!j35")-Averages!J$2)/STDEV(INDIRECT("'Averages'!j$4"):INDIRECT("'Averages'!j$444"))</f>
        <v>0</v>
      </c>
      <c r="K35">
        <f ca="1">(INDIRECT("'Averages'!k35")-Averages!K$2)/STDEV(INDIRECT("'Averages'!k$4"):INDIRECT("'Averages'!k$444"))</f>
        <v>0</v>
      </c>
      <c r="L35">
        <f ca="1">(INDIRECT("'Averages'!L35")-Averages!L$2)/STDEV(INDIRECT("'Averages'!L$4"):INDIRECT("'Averages'!L$444"))</f>
        <v>0</v>
      </c>
      <c r="M35">
        <f ca="1">(INDIRECT("'Averages'!m2")-Averages!M$2)/STDEV(INDIRECT("'Averages'!m$4"):INDIRECT("'Averages'!m$444"))</f>
        <v>0</v>
      </c>
      <c r="P35">
        <f t="shared" si="0"/>
        <v>-1.9363011010238382</v>
      </c>
    </row>
    <row r="36" spans="1:16" ht="15">
      <c r="A36">
        <f>Averages!A36</f>
        <v>0</v>
      </c>
      <c r="B36">
        <f ca="1">(INDIRECT("'Averages'!$B36")-Averages!B$2)/STDEV(INDIRECT("'Averages'!$B4"):INDIRECT("'Averages'!$B444"))</f>
        <v>-0.8663149959690197</v>
      </c>
      <c r="C36">
        <f ca="1">(INDIRECT("'Averages'!$C34")-Averages!$C$2)/STDEV(INDIRECT("'Averages'!$C4"):INDIRECT("'Averages'!$C444"))</f>
        <v>0</v>
      </c>
      <c r="D36">
        <f ca="1">(INDIRECT("'Averages'!d36")-Averages!$D$2)/STDEV(INDIRECT("'Averages'!$d4"):INDIRECT("'Averages'!$d444"))</f>
        <v>-0.07465546359853419</v>
      </c>
      <c r="E36">
        <f ca="1">((INDIRECT("'Averages'!E36")-Averages!E$2)/STDEV(INDIRECT("'Averages'!e$4"):INDIRECT("'Averages'!e$444")))</f>
        <v>0</v>
      </c>
      <c r="F36">
        <f ca="1">((INDIRECT("'Averages'!f36")-Averages!F$2)/STDEV(INDIRECT("'Averages'!f$4"):INDIRECT("'Averages'!f$444")))</f>
        <v>0</v>
      </c>
      <c r="G36">
        <f ca="1">((INDIRECT("'Averages'!g36")-Averages!G$2)/STDEV(INDIRECT("'Averages'!g$4"):INDIRECT("'Averages'!g$444")))</f>
        <v>-1.3093940674363411</v>
      </c>
      <c r="H36">
        <f ca="1">(INDIRECT("'Averages'!h36")-Averages!H$2)/STDEV(INDIRECT("'Averages'!h$4"):INDIRECT("'Averages'!h$444"))</f>
        <v>-0.6484588862055517</v>
      </c>
      <c r="I36">
        <f ca="1">(INDIRECT("'Averages'!i36")-Averages!I$2)/STDEV(INDIRECT("'Averages'!i$4"):INDIRECT("'Averages'!i$444"))</f>
        <v>-0.7701076797524309</v>
      </c>
      <c r="J36">
        <f ca="1">(INDIRECT("'Averages'!j36")-Averages!J$2)/STDEV(INDIRECT("'Averages'!j$4"):INDIRECT("'Averages'!j$444"))</f>
        <v>0</v>
      </c>
      <c r="K36">
        <f ca="1">(INDIRECT("'Averages'!k36")-Averages!K$2)/STDEV(INDIRECT("'Averages'!k$4"):INDIRECT("'Averages'!k$444"))</f>
        <v>0</v>
      </c>
      <c r="L36">
        <f ca="1">(INDIRECT("'Averages'!L36")-Averages!L$2)/STDEV(INDIRECT("'Averages'!L$4"):INDIRECT("'Averages'!L$444"))</f>
        <v>0</v>
      </c>
      <c r="M36">
        <f ca="1">(INDIRECT("'Averages'!m2")-Averages!M$2)/STDEV(INDIRECT("'Averages'!m$4"):INDIRECT("'Averages'!m$444"))</f>
        <v>0</v>
      </c>
      <c r="P36">
        <f t="shared" si="0"/>
        <v>-1.9363011010238382</v>
      </c>
    </row>
    <row r="37" spans="1:16" ht="15">
      <c r="A37">
        <f>Averages!A37</f>
        <v>0</v>
      </c>
      <c r="B37">
        <f ca="1">(INDIRECT("'Averages'!$B37")-Averages!B$2)/STDEV(INDIRECT("'Averages'!$B4"):INDIRECT("'Averages'!$B444"))</f>
        <v>-0.8663149959690197</v>
      </c>
      <c r="C37">
        <f ca="1">(INDIRECT("'Averages'!$C34")-Averages!$C$2)/STDEV(INDIRECT("'Averages'!$C4"):INDIRECT("'Averages'!$C444"))</f>
        <v>0</v>
      </c>
      <c r="D37">
        <f ca="1">(INDIRECT("'Averages'!d37")-Averages!$D$2)/STDEV(INDIRECT("'Averages'!$d4"):INDIRECT("'Averages'!$d444"))</f>
        <v>-0.07465546359853419</v>
      </c>
      <c r="E37">
        <f ca="1">((INDIRECT("'Averages'!E37")-Averages!E$2)/STDEV(INDIRECT("'Averages'!e$4"):INDIRECT("'Averages'!e$444")))</f>
        <v>0</v>
      </c>
      <c r="F37">
        <f ca="1">((INDIRECT("'Averages'!f37")-Averages!F$2)/STDEV(INDIRECT("'Averages'!f$4"):INDIRECT("'Averages'!f$444")))</f>
        <v>0</v>
      </c>
      <c r="G37">
        <f ca="1">((INDIRECT("'Averages'!g37")-Averages!G$2)/STDEV(INDIRECT("'Averages'!g$4"):INDIRECT("'Averages'!g$444")))</f>
        <v>-1.3093940674363411</v>
      </c>
      <c r="H37">
        <f ca="1">(INDIRECT("'Averages'!h37")-Averages!H$2)/STDEV(INDIRECT("'Averages'!h$4"):INDIRECT("'Averages'!h$444"))</f>
        <v>-0.6484588862055517</v>
      </c>
      <c r="I37">
        <f ca="1">(INDIRECT("'Averages'!i37")-Averages!I$2)/STDEV(INDIRECT("'Averages'!i$4"):INDIRECT("'Averages'!i$444"))</f>
        <v>-0.7701076797524309</v>
      </c>
      <c r="J37">
        <f ca="1">(INDIRECT("'Averages'!j37")-Averages!J$2)/STDEV(INDIRECT("'Averages'!j$4"):INDIRECT("'Averages'!j$444"))</f>
        <v>0</v>
      </c>
      <c r="K37">
        <f ca="1">(INDIRECT("'Averages'!k37")-Averages!K$2)/STDEV(INDIRECT("'Averages'!k$4"):INDIRECT("'Averages'!k$444"))</f>
        <v>0</v>
      </c>
      <c r="L37">
        <f ca="1">(INDIRECT("'Averages'!L37")-Averages!L$2)/STDEV(INDIRECT("'Averages'!L$4"):INDIRECT("'Averages'!L$444"))</f>
        <v>0</v>
      </c>
      <c r="M37">
        <f ca="1">(INDIRECT("'Averages'!m2")-Averages!M$2)/STDEV(INDIRECT("'Averages'!m$4"):INDIRECT("'Averages'!m$444"))</f>
        <v>0</v>
      </c>
      <c r="P37">
        <f t="shared" si="0"/>
        <v>-1.9363011010238382</v>
      </c>
    </row>
    <row r="38" spans="1:16" ht="15">
      <c r="A38">
        <f>Averages!A38</f>
        <v>0</v>
      </c>
      <c r="B38">
        <f ca="1">(INDIRECT("'Averages'!$B38")-Averages!B$2)/STDEV(INDIRECT("'Averages'!$B4"):INDIRECT("'Averages'!$B444"))</f>
        <v>-0.8663149959690197</v>
      </c>
      <c r="C38">
        <f ca="1">(INDIRECT("'Averages'!$C34")-Averages!$C$2)/STDEV(INDIRECT("'Averages'!$C4"):INDIRECT("'Averages'!$C444"))</f>
        <v>0</v>
      </c>
      <c r="D38">
        <f ca="1">(INDIRECT("'Averages'!d38")-Averages!$D$2)/STDEV(INDIRECT("'Averages'!$d4"):INDIRECT("'Averages'!$d444"))</f>
        <v>-0.07465546359853419</v>
      </c>
      <c r="E38">
        <f ca="1">((INDIRECT("'Averages'!E38")-Averages!E$2)/STDEV(INDIRECT("'Averages'!e$4"):INDIRECT("'Averages'!e$444")))</f>
        <v>0</v>
      </c>
      <c r="F38">
        <f ca="1">((INDIRECT("'Averages'!f38")-Averages!F$2)/STDEV(INDIRECT("'Averages'!f$4"):INDIRECT("'Averages'!f$444")))</f>
        <v>0</v>
      </c>
      <c r="G38">
        <f ca="1">((INDIRECT("'Averages'!g38")-Averages!G$2)/STDEV(INDIRECT("'Averages'!g$4"):INDIRECT("'Averages'!g$444")))</f>
        <v>-1.3093940674363411</v>
      </c>
      <c r="H38">
        <f ca="1">(INDIRECT("'Averages'!h38")-Averages!H$2)/STDEV(INDIRECT("'Averages'!h$4"):INDIRECT("'Averages'!h$444"))</f>
        <v>-0.6484588862055517</v>
      </c>
      <c r="I38">
        <f ca="1">(INDIRECT("'Averages'!i38")-Averages!I$2)/STDEV(INDIRECT("'Averages'!i$4"):INDIRECT("'Averages'!i$444"))</f>
        <v>-0.7701076797524309</v>
      </c>
      <c r="J38">
        <f ca="1">(INDIRECT("'Averages'!j38")-Averages!J$2)/STDEV(INDIRECT("'Averages'!j$4"):INDIRECT("'Averages'!j$444"))</f>
        <v>0</v>
      </c>
      <c r="K38">
        <f ca="1">(INDIRECT("'Averages'!k38")-Averages!K$2)/STDEV(INDIRECT("'Averages'!k$4"):INDIRECT("'Averages'!k$444"))</f>
        <v>0</v>
      </c>
      <c r="L38">
        <f ca="1">(INDIRECT("'Averages'!L38")-Averages!L$2)/STDEV(INDIRECT("'Averages'!L$4"):INDIRECT("'Averages'!L$444"))</f>
        <v>0</v>
      </c>
      <c r="M38">
        <f ca="1">(INDIRECT("'Averages'!m2")-Averages!M$2)/STDEV(INDIRECT("'Averages'!m$4"):INDIRECT("'Averages'!m$444"))</f>
        <v>0</v>
      </c>
      <c r="P38">
        <f t="shared" si="0"/>
        <v>-1.9363011010238382</v>
      </c>
    </row>
    <row r="39" spans="1:16" ht="15">
      <c r="A39">
        <f>Averages!A39</f>
        <v>0</v>
      </c>
      <c r="B39">
        <f ca="1">(INDIRECT("'Averages'!$B39")-Averages!B$2)/STDEV(INDIRECT("'Averages'!$B4"):INDIRECT("'Averages'!$B444"))</f>
        <v>-0.8663149959690197</v>
      </c>
      <c r="C39">
        <f ca="1">(INDIRECT("'Averages'!$C34")-Averages!$C$2)/STDEV(INDIRECT("'Averages'!$C4"):INDIRECT("'Averages'!$C444"))</f>
        <v>0</v>
      </c>
      <c r="D39">
        <f ca="1">(INDIRECT("'Averages'!d39")-Averages!$D$2)/STDEV(INDIRECT("'Averages'!$d4"):INDIRECT("'Averages'!$d444"))</f>
        <v>-0.07465546359853419</v>
      </c>
      <c r="E39">
        <f ca="1">((INDIRECT("'Averages'!E39")-Averages!E$2)/STDEV(INDIRECT("'Averages'!e$4"):INDIRECT("'Averages'!e$444")))</f>
        <v>0</v>
      </c>
      <c r="F39">
        <f ca="1">((INDIRECT("'Averages'!f39")-Averages!F$2)/STDEV(INDIRECT("'Averages'!f$4"):INDIRECT("'Averages'!f$444")))</f>
        <v>0</v>
      </c>
      <c r="G39">
        <f ca="1">((INDIRECT("'Averages'!g39")-Averages!G$2)/STDEV(INDIRECT("'Averages'!g$4"):INDIRECT("'Averages'!g$444")))</f>
        <v>-1.3093940674363411</v>
      </c>
      <c r="H39">
        <f ca="1">(INDIRECT("'Averages'!h39")-Averages!H$2)/STDEV(INDIRECT("'Averages'!h$4"):INDIRECT("'Averages'!h$444"))</f>
        <v>-0.6484588862055517</v>
      </c>
      <c r="I39">
        <f ca="1">(INDIRECT("'Averages'!i39")-Averages!I$2)/STDEV(INDIRECT("'Averages'!i$4"):INDIRECT("'Averages'!i$444"))</f>
        <v>-0.7701076797524309</v>
      </c>
      <c r="J39">
        <f ca="1">(INDIRECT("'Averages'!j39")-Averages!J$2)/STDEV(INDIRECT("'Averages'!j$4"):INDIRECT("'Averages'!j$444"))</f>
        <v>0</v>
      </c>
      <c r="K39">
        <f ca="1">(INDIRECT("'Averages'!k39")-Averages!K$2)/STDEV(INDIRECT("'Averages'!k$4"):INDIRECT("'Averages'!k$444"))</f>
        <v>0</v>
      </c>
      <c r="L39">
        <f ca="1">(INDIRECT("'Averages'!L39")-Averages!L$2)/STDEV(INDIRECT("'Averages'!L$4"):INDIRECT("'Averages'!L$444"))</f>
        <v>0</v>
      </c>
      <c r="M39">
        <f ca="1">(INDIRECT("'Averages'!m2")-Averages!M$2)/STDEV(INDIRECT("'Averages'!m$4"):INDIRECT("'Averages'!m$444"))</f>
        <v>0</v>
      </c>
      <c r="P39">
        <f t="shared" si="0"/>
        <v>-1.9363011010238382</v>
      </c>
    </row>
    <row r="40" spans="1:16" ht="15">
      <c r="A40">
        <f>Averages!A40</f>
        <v>0</v>
      </c>
      <c r="B40">
        <f ca="1">(INDIRECT("'Averages'!$B40")-Averages!B$2)/STDEV(INDIRECT("'Averages'!$B4"):INDIRECT("'Averages'!$B444"))</f>
        <v>-0.8663149959690197</v>
      </c>
      <c r="C40">
        <f ca="1">(INDIRECT("'Averages'!$C34")-Averages!$C$2)/STDEV(INDIRECT("'Averages'!$C4"):INDIRECT("'Averages'!$C444"))</f>
        <v>0</v>
      </c>
      <c r="D40">
        <f ca="1">(INDIRECT("'Averages'!d40")-Averages!$D$2)/STDEV(INDIRECT("'Averages'!$d4"):INDIRECT("'Averages'!$d444"))</f>
        <v>-0.07465546359853419</v>
      </c>
      <c r="E40">
        <f ca="1">((INDIRECT("'Averages'!E40")-Averages!E$2)/STDEV(INDIRECT("'Averages'!e$4"):INDIRECT("'Averages'!e$444")))</f>
        <v>0</v>
      </c>
      <c r="F40">
        <f ca="1">((INDIRECT("'Averages'!f40")-Averages!F$2)/STDEV(INDIRECT("'Averages'!f$4"):INDIRECT("'Averages'!f$444")))</f>
        <v>0</v>
      </c>
      <c r="G40">
        <f ca="1">((INDIRECT("'Averages'!g40")-Averages!G$2)/STDEV(INDIRECT("'Averages'!g$4"):INDIRECT("'Averages'!g$444")))</f>
        <v>-1.3093940674363411</v>
      </c>
      <c r="H40">
        <f ca="1">(INDIRECT("'Averages'!h40")-Averages!H$2)/STDEV(INDIRECT("'Averages'!h$4"):INDIRECT("'Averages'!h$444"))</f>
        <v>-0.6484588862055517</v>
      </c>
      <c r="I40">
        <f ca="1">(INDIRECT("'Averages'!i40")-Averages!I$2)/STDEV(INDIRECT("'Averages'!i$4"):INDIRECT("'Averages'!i$444"))</f>
        <v>-0.7701076797524309</v>
      </c>
      <c r="J40">
        <f ca="1">(INDIRECT("'Averages'!j40")-Averages!J$2)/STDEV(INDIRECT("'Averages'!j$4"):INDIRECT("'Averages'!j$444"))</f>
        <v>0</v>
      </c>
      <c r="K40">
        <f ca="1">(INDIRECT("'Averages'!k40")-Averages!K$2)/STDEV(INDIRECT("'Averages'!k$4"):INDIRECT("'Averages'!k$444"))</f>
        <v>0</v>
      </c>
      <c r="L40">
        <f ca="1">(INDIRECT("'Averages'!L40")-Averages!L$2)/STDEV(INDIRECT("'Averages'!L$4"):INDIRECT("'Averages'!L$444"))</f>
        <v>0</v>
      </c>
      <c r="M40">
        <f ca="1">(INDIRECT("'Averages'!m2")-Averages!M$2)/STDEV(INDIRECT("'Averages'!m$4"):INDIRECT("'Averages'!m$444"))</f>
        <v>0</v>
      </c>
      <c r="P40">
        <f t="shared" si="0"/>
        <v>-1.9363011010238382</v>
      </c>
    </row>
    <row r="41" spans="1:16" ht="15">
      <c r="A41">
        <f>Averages!A41</f>
        <v>0</v>
      </c>
      <c r="B41">
        <f ca="1">(INDIRECT("'Averages'!$B41")-Averages!B$2)/STDEV(INDIRECT("'Averages'!$B4"):INDIRECT("'Averages'!$B444"))</f>
        <v>-0.8663149959690197</v>
      </c>
      <c r="C41">
        <f ca="1">(INDIRECT("'Averages'!$C34")-Averages!$C$2)/STDEV(INDIRECT("'Averages'!$C4"):INDIRECT("'Averages'!$C444"))</f>
        <v>0</v>
      </c>
      <c r="D41">
        <f ca="1">(INDIRECT("'Averages'!d41")-Averages!$D$2)/STDEV(INDIRECT("'Averages'!$d4"):INDIRECT("'Averages'!$d444"))</f>
        <v>-0.07465546359853419</v>
      </c>
      <c r="E41">
        <f ca="1">((INDIRECT("'Averages'!E41")-Averages!E$2)/STDEV(INDIRECT("'Averages'!e$4"):INDIRECT("'Averages'!e$444")))</f>
        <v>0</v>
      </c>
      <c r="F41">
        <f ca="1">((INDIRECT("'Averages'!f41")-Averages!F$2)/STDEV(INDIRECT("'Averages'!f$4"):INDIRECT("'Averages'!f$444")))</f>
        <v>0</v>
      </c>
      <c r="G41">
        <f ca="1">((INDIRECT("'Averages'!g41")-Averages!G$2)/STDEV(INDIRECT("'Averages'!g$4"):INDIRECT("'Averages'!g$444")))</f>
        <v>-1.3093940674363411</v>
      </c>
      <c r="H41">
        <f ca="1">(INDIRECT("'Averages'!h41")-Averages!H$2)/STDEV(INDIRECT("'Averages'!h$4"):INDIRECT("'Averages'!h$444"))</f>
        <v>-0.6484588862055517</v>
      </c>
      <c r="I41">
        <f ca="1">(INDIRECT("'Averages'!i41")-Averages!I$2)/STDEV(INDIRECT("'Averages'!i$4"):INDIRECT("'Averages'!i$444"))</f>
        <v>-0.7701076797524309</v>
      </c>
      <c r="J41">
        <f ca="1">(INDIRECT("'Averages'!j41")-Averages!J$2)/STDEV(INDIRECT("'Averages'!j$4"):INDIRECT("'Averages'!j$444"))</f>
        <v>0</v>
      </c>
      <c r="K41">
        <f ca="1">(INDIRECT("'Averages'!k41")-Averages!K$2)/STDEV(INDIRECT("'Averages'!k$4"):INDIRECT("'Averages'!k$444"))</f>
        <v>0</v>
      </c>
      <c r="L41">
        <f ca="1">(INDIRECT("'Averages'!L41")-Averages!L$2)/STDEV(INDIRECT("'Averages'!L$4"):INDIRECT("'Averages'!L$444"))</f>
        <v>0</v>
      </c>
      <c r="M41">
        <f ca="1">(INDIRECT("'Averages'!m2")-Averages!M$2)/STDEV(INDIRECT("'Averages'!m$4"):INDIRECT("'Averages'!m$444"))</f>
        <v>0</v>
      </c>
      <c r="P41">
        <f t="shared" si="0"/>
        <v>-1.9363011010238382</v>
      </c>
    </row>
    <row r="42" spans="1:16" ht="15">
      <c r="A42">
        <f>Averages!A42</f>
        <v>0</v>
      </c>
      <c r="B42">
        <f ca="1">(INDIRECT("'Averages'!$B42")-Averages!B$2)/STDEV(INDIRECT("'Averages'!$B4"):INDIRECT("'Averages'!$B444"))</f>
        <v>-0.8663149959690197</v>
      </c>
      <c r="C42">
        <f ca="1">(INDIRECT("'Averages'!$C34")-Averages!$C$2)/STDEV(INDIRECT("'Averages'!$C4"):INDIRECT("'Averages'!$C444"))</f>
        <v>0</v>
      </c>
      <c r="D42">
        <f ca="1">(INDIRECT("'Averages'!d42")-Averages!$D$2)/STDEV(INDIRECT("'Averages'!$d4"):INDIRECT("'Averages'!$d444"))</f>
        <v>-0.07465546359853419</v>
      </c>
      <c r="E42">
        <f ca="1">((INDIRECT("'Averages'!E42")-Averages!E$2)/STDEV(INDIRECT("'Averages'!e$4"):INDIRECT("'Averages'!e$444")))</f>
        <v>0</v>
      </c>
      <c r="F42">
        <f ca="1">((INDIRECT("'Averages'!f42")-Averages!F$2)/STDEV(INDIRECT("'Averages'!f$4"):INDIRECT("'Averages'!f$444")))</f>
        <v>0</v>
      </c>
      <c r="G42">
        <f ca="1">((INDIRECT("'Averages'!g42")-Averages!G$2)/STDEV(INDIRECT("'Averages'!g$4"):INDIRECT("'Averages'!g$444")))</f>
        <v>-1.3093940674363411</v>
      </c>
      <c r="H42">
        <f ca="1">(INDIRECT("'Averages'!h42")-Averages!H$2)/STDEV(INDIRECT("'Averages'!h$4"):INDIRECT("'Averages'!h$444"))</f>
        <v>-0.6484588862055517</v>
      </c>
      <c r="I42">
        <f ca="1">(INDIRECT("'Averages'!i42")-Averages!I$2)/STDEV(INDIRECT("'Averages'!i$4"):INDIRECT("'Averages'!i$444"))</f>
        <v>-0.7701076797524309</v>
      </c>
      <c r="J42">
        <f ca="1">(INDIRECT("'Averages'!j42")-Averages!J$2)/STDEV(INDIRECT("'Averages'!j$4"):INDIRECT("'Averages'!j$444"))</f>
        <v>0</v>
      </c>
      <c r="K42">
        <f ca="1">(INDIRECT("'Averages'!k42")-Averages!K$2)/STDEV(INDIRECT("'Averages'!k$4"):INDIRECT("'Averages'!k$444"))</f>
        <v>0</v>
      </c>
      <c r="L42">
        <f ca="1">(INDIRECT("'Averages'!L42")-Averages!L$2)/STDEV(INDIRECT("'Averages'!L$4"):INDIRECT("'Averages'!L$444"))</f>
        <v>0</v>
      </c>
      <c r="M42">
        <f ca="1">(INDIRECT("'Averages'!m2")-Averages!M$2)/STDEV(INDIRECT("'Averages'!m$4"):INDIRECT("'Averages'!m$444"))</f>
        <v>0</v>
      </c>
      <c r="P42">
        <f t="shared" si="0"/>
        <v>-1.9363011010238382</v>
      </c>
    </row>
    <row r="43" spans="1:16" ht="15">
      <c r="A43">
        <f>Averages!A43</f>
        <v>0</v>
      </c>
      <c r="B43">
        <f ca="1">(INDIRECT("'Averages'!$B43")-Averages!B$2)/STDEV(INDIRECT("'Averages'!$B4"):INDIRECT("'Averages'!$B444"))</f>
        <v>-0.8663149959690197</v>
      </c>
      <c r="C43">
        <f ca="1">(INDIRECT("'Averages'!$C34")-Averages!$C$2)/STDEV(INDIRECT("'Averages'!$C4"):INDIRECT("'Averages'!$C444"))</f>
        <v>0</v>
      </c>
      <c r="D43">
        <f ca="1">(INDIRECT("'Averages'!d43")-Averages!$D$2)/STDEV(INDIRECT("'Averages'!$d4"):INDIRECT("'Averages'!$d444"))</f>
        <v>-0.07465546359853419</v>
      </c>
      <c r="E43">
        <f ca="1">((INDIRECT("'Averages'!E43")-Averages!E$2)/STDEV(INDIRECT("'Averages'!e$4"):INDIRECT("'Averages'!e$444")))</f>
        <v>0</v>
      </c>
      <c r="F43">
        <f ca="1">((INDIRECT("'Averages'!f43")-Averages!F$2)/STDEV(INDIRECT("'Averages'!f$4"):INDIRECT("'Averages'!f$444")))</f>
        <v>0</v>
      </c>
      <c r="G43">
        <f ca="1">((INDIRECT("'Averages'!g43")-Averages!G$2)/STDEV(INDIRECT("'Averages'!g$4"):INDIRECT("'Averages'!g$444")))</f>
        <v>-1.3093940674363411</v>
      </c>
      <c r="H43">
        <f ca="1">(INDIRECT("'Averages'!h43")-Averages!H$2)/STDEV(INDIRECT("'Averages'!h$4"):INDIRECT("'Averages'!h$444"))</f>
        <v>-0.6484588862055517</v>
      </c>
      <c r="I43">
        <f ca="1">(INDIRECT("'Averages'!i43")-Averages!I$2)/STDEV(INDIRECT("'Averages'!i$4"):INDIRECT("'Averages'!i$444"))</f>
        <v>-0.7701076797524309</v>
      </c>
      <c r="J43">
        <f ca="1">(INDIRECT("'Averages'!j43")-Averages!J$2)/STDEV(INDIRECT("'Averages'!j$4"):INDIRECT("'Averages'!j$444"))</f>
        <v>0</v>
      </c>
      <c r="K43">
        <f ca="1">(INDIRECT("'Averages'!k43")-Averages!K$2)/STDEV(INDIRECT("'Averages'!k$4"):INDIRECT("'Averages'!k$444"))</f>
        <v>0</v>
      </c>
      <c r="L43">
        <f ca="1">(INDIRECT("'Averages'!L43")-Averages!L$2)/STDEV(INDIRECT("'Averages'!L$4"):INDIRECT("'Averages'!L$444"))</f>
        <v>0</v>
      </c>
      <c r="M43">
        <f ca="1">(INDIRECT("'Averages'!m2")-Averages!M$2)/STDEV(INDIRECT("'Averages'!m$4"):INDIRECT("'Averages'!m$444"))</f>
        <v>0</v>
      </c>
      <c r="P43">
        <f t="shared" si="0"/>
        <v>-1.9363011010238382</v>
      </c>
    </row>
    <row r="44" spans="1:16" ht="15">
      <c r="A44">
        <f>Averages!A44</f>
        <v>0</v>
      </c>
      <c r="B44">
        <f ca="1">(INDIRECT("'Averages'!$B44")-Averages!B$2)/STDEV(INDIRECT("'Averages'!$B4"):INDIRECT("'Averages'!$B444"))</f>
        <v>-0.8663149959690197</v>
      </c>
      <c r="C44">
        <f ca="1">(INDIRECT("'Averages'!$C34")-Averages!$C$2)/STDEV(INDIRECT("'Averages'!$C4"):INDIRECT("'Averages'!$C444"))</f>
        <v>0</v>
      </c>
      <c r="D44">
        <f ca="1">(INDIRECT("'Averages'!d44")-Averages!$D$2)/STDEV(INDIRECT("'Averages'!$d4"):INDIRECT("'Averages'!$d444"))</f>
        <v>-0.07465546359853419</v>
      </c>
      <c r="E44">
        <f ca="1">((INDIRECT("'Averages'!E44")-Averages!E$2)/STDEV(INDIRECT("'Averages'!e$4"):INDIRECT("'Averages'!e$444")))</f>
        <v>0</v>
      </c>
      <c r="F44">
        <f ca="1">((INDIRECT("'Averages'!f44")-Averages!F$2)/STDEV(INDIRECT("'Averages'!f$4"):INDIRECT("'Averages'!f$444")))</f>
        <v>0</v>
      </c>
      <c r="G44">
        <f ca="1">((INDIRECT("'Averages'!g44")-Averages!G$2)/STDEV(INDIRECT("'Averages'!g$4"):INDIRECT("'Averages'!g$444")))</f>
        <v>-1.3093940674363411</v>
      </c>
      <c r="H44">
        <f ca="1">(INDIRECT("'Averages'!h44")-Averages!H$2)/STDEV(INDIRECT("'Averages'!h$4"):INDIRECT("'Averages'!h$444"))</f>
        <v>-0.6484588862055517</v>
      </c>
      <c r="I44">
        <f ca="1">(INDIRECT("'Averages'!i44")-Averages!I$2)/STDEV(INDIRECT("'Averages'!i$4"):INDIRECT("'Averages'!i$444"))</f>
        <v>-0.7701076797524309</v>
      </c>
      <c r="J44">
        <f ca="1">(INDIRECT("'Averages'!j44")-Averages!J$2)/STDEV(INDIRECT("'Averages'!j$4"):INDIRECT("'Averages'!j$444"))</f>
        <v>0</v>
      </c>
      <c r="K44">
        <f ca="1">(INDIRECT("'Averages'!k44")-Averages!K$2)/STDEV(INDIRECT("'Averages'!k$4"):INDIRECT("'Averages'!k$444"))</f>
        <v>0</v>
      </c>
      <c r="L44">
        <f ca="1">(INDIRECT("'Averages'!L44")-Averages!L$2)/STDEV(INDIRECT("'Averages'!L$4"):INDIRECT("'Averages'!L$444"))</f>
        <v>0</v>
      </c>
      <c r="M44">
        <f ca="1">(INDIRECT("'Averages'!m2")-Averages!M$2)/STDEV(INDIRECT("'Averages'!m$4"):INDIRECT("'Averages'!m$444"))</f>
        <v>0</v>
      </c>
      <c r="P44">
        <f t="shared" si="0"/>
        <v>-1.9363011010238382</v>
      </c>
    </row>
    <row r="45" spans="1:16" ht="15">
      <c r="A45">
        <f>Averages!A45</f>
        <v>0</v>
      </c>
      <c r="B45">
        <f ca="1">(INDIRECT("'Averages'!$B45")-Averages!B$2)/STDEV(INDIRECT("'Averages'!$B4"):INDIRECT("'Averages'!$B444"))</f>
        <v>-0.8663149959690197</v>
      </c>
      <c r="C45">
        <f ca="1">(INDIRECT("'Averages'!$C34")-Averages!$C$2)/STDEV(INDIRECT("'Averages'!$C4"):INDIRECT("'Averages'!$C444"))</f>
        <v>0</v>
      </c>
      <c r="D45">
        <f ca="1">(INDIRECT("'Averages'!d45")-Averages!$D$2)/STDEV(INDIRECT("'Averages'!$d4"):INDIRECT("'Averages'!$d444"))</f>
        <v>-0.07465546359853419</v>
      </c>
      <c r="E45">
        <f ca="1">((INDIRECT("'Averages'!E45")-Averages!E$2)/STDEV(INDIRECT("'Averages'!e$4"):INDIRECT("'Averages'!e$444")))</f>
        <v>0</v>
      </c>
      <c r="F45">
        <f ca="1">((INDIRECT("'Averages'!f45")-Averages!F$2)/STDEV(INDIRECT("'Averages'!f$4"):INDIRECT("'Averages'!f$444")))</f>
        <v>0</v>
      </c>
      <c r="G45">
        <f ca="1">((INDIRECT("'Averages'!g45")-Averages!G$2)/STDEV(INDIRECT("'Averages'!g$4"):INDIRECT("'Averages'!g$444")))</f>
        <v>-1.3093940674363411</v>
      </c>
      <c r="H45">
        <f ca="1">(INDIRECT("'Averages'!h45")-Averages!H$2)/STDEV(INDIRECT("'Averages'!h$4"):INDIRECT("'Averages'!h$444"))</f>
        <v>-0.6484588862055517</v>
      </c>
      <c r="I45">
        <f ca="1">(INDIRECT("'Averages'!i45")-Averages!I$2)/STDEV(INDIRECT("'Averages'!i$4"):INDIRECT("'Averages'!i$444"))</f>
        <v>-0.7701076797524309</v>
      </c>
      <c r="J45">
        <f ca="1">(INDIRECT("'Averages'!j45")-Averages!J$2)/STDEV(INDIRECT("'Averages'!j$4"):INDIRECT("'Averages'!j$444"))</f>
        <v>0</v>
      </c>
      <c r="K45">
        <f ca="1">(INDIRECT("'Averages'!k45")-Averages!K$2)/STDEV(INDIRECT("'Averages'!k$4"):INDIRECT("'Averages'!k$444"))</f>
        <v>0</v>
      </c>
      <c r="L45">
        <f ca="1">(INDIRECT("'Averages'!L45")-Averages!L$2)/STDEV(INDIRECT("'Averages'!L$4"):INDIRECT("'Averages'!L$444"))</f>
        <v>0</v>
      </c>
      <c r="M45">
        <f ca="1">(INDIRECT("'Averages'!m2")-Averages!M$2)/STDEV(INDIRECT("'Averages'!m$4"):INDIRECT("'Averages'!m$444"))</f>
        <v>0</v>
      </c>
      <c r="P45">
        <f t="shared" si="0"/>
        <v>-1.9363011010238382</v>
      </c>
    </row>
    <row r="46" spans="1:16" ht="15">
      <c r="A46">
        <f>Averages!A46</f>
        <v>0</v>
      </c>
      <c r="B46">
        <f ca="1">(INDIRECT("'Averages'!$B46")-Averages!B$2)/STDEV(INDIRECT("'Averages'!$B4"):INDIRECT("'Averages'!$B444"))</f>
        <v>-0.8663149959690197</v>
      </c>
      <c r="C46">
        <f ca="1">(INDIRECT("'Averages'!$C34")-Averages!$C$2)/STDEV(INDIRECT("'Averages'!$C4"):INDIRECT("'Averages'!$C444"))</f>
        <v>0</v>
      </c>
      <c r="D46">
        <f ca="1">(INDIRECT("'Averages'!d46")-Averages!$D$2)/STDEV(INDIRECT("'Averages'!$d4"):INDIRECT("'Averages'!$d444"))</f>
        <v>-0.07465546359853419</v>
      </c>
      <c r="E46">
        <f ca="1">((INDIRECT("'Averages'!E46")-Averages!E$2)/STDEV(INDIRECT("'Averages'!e$4"):INDIRECT("'Averages'!e$444")))</f>
        <v>0</v>
      </c>
      <c r="F46">
        <f ca="1">((INDIRECT("'Averages'!f46")-Averages!F$2)/STDEV(INDIRECT("'Averages'!f$4"):INDIRECT("'Averages'!f$444")))</f>
        <v>0</v>
      </c>
      <c r="G46">
        <f ca="1">((INDIRECT("'Averages'!g46")-Averages!G$2)/STDEV(INDIRECT("'Averages'!g$4"):INDIRECT("'Averages'!g$444")))</f>
        <v>-1.3093940674363411</v>
      </c>
      <c r="H46">
        <f ca="1">(INDIRECT("'Averages'!h46")-Averages!H$2)/STDEV(INDIRECT("'Averages'!h$4"):INDIRECT("'Averages'!h$444"))</f>
        <v>-0.6484588862055517</v>
      </c>
      <c r="I46">
        <f ca="1">(INDIRECT("'Averages'!i46")-Averages!I$2)/STDEV(INDIRECT("'Averages'!i$4"):INDIRECT("'Averages'!i$444"))</f>
        <v>-0.7701076797524309</v>
      </c>
      <c r="J46">
        <f ca="1">(INDIRECT("'Averages'!j46")-Averages!J$2)/STDEV(INDIRECT("'Averages'!j$4"):INDIRECT("'Averages'!j$444"))</f>
        <v>0</v>
      </c>
      <c r="K46">
        <f ca="1">(INDIRECT("'Averages'!k46")-Averages!K$2)/STDEV(INDIRECT("'Averages'!k$4"):INDIRECT("'Averages'!k$444"))</f>
        <v>0</v>
      </c>
      <c r="L46">
        <f ca="1">(INDIRECT("'Averages'!L46")-Averages!L$2)/STDEV(INDIRECT("'Averages'!L$4"):INDIRECT("'Averages'!L$444"))</f>
        <v>0</v>
      </c>
      <c r="M46">
        <f ca="1">(INDIRECT("'Averages'!m2")-Averages!M$2)/STDEV(INDIRECT("'Averages'!m$4"):INDIRECT("'Averages'!m$444"))</f>
        <v>0</v>
      </c>
      <c r="P46">
        <f t="shared" si="0"/>
        <v>-1.9363011010238382</v>
      </c>
    </row>
    <row r="47" spans="1:16" ht="15">
      <c r="A47">
        <f>Averages!A47</f>
        <v>0</v>
      </c>
      <c r="B47">
        <f ca="1">(INDIRECT("'Averages'!$B47")-Averages!B$2)/STDEV(INDIRECT("'Averages'!$B4"):INDIRECT("'Averages'!$B444"))</f>
        <v>-0.8663149959690197</v>
      </c>
      <c r="C47">
        <f ca="1">(INDIRECT("'Averages'!$C34")-Averages!$C$2)/STDEV(INDIRECT("'Averages'!$C4"):INDIRECT("'Averages'!$C444"))</f>
        <v>0</v>
      </c>
      <c r="D47">
        <f ca="1">(INDIRECT("'Averages'!d47")-Averages!$D$2)/STDEV(INDIRECT("'Averages'!$d4"):INDIRECT("'Averages'!$d444"))</f>
        <v>-0.07465546359853419</v>
      </c>
      <c r="E47">
        <f ca="1">((INDIRECT("'Averages'!E47")-Averages!E$2)/STDEV(INDIRECT("'Averages'!e$4"):INDIRECT("'Averages'!e$444")))</f>
        <v>0</v>
      </c>
      <c r="F47">
        <f ca="1">((INDIRECT("'Averages'!f47")-Averages!F$2)/STDEV(INDIRECT("'Averages'!f$4"):INDIRECT("'Averages'!f$444")))</f>
        <v>0</v>
      </c>
      <c r="G47">
        <f ca="1">((INDIRECT("'Averages'!g47")-Averages!G$2)/STDEV(INDIRECT("'Averages'!g$4"):INDIRECT("'Averages'!g$444")))</f>
        <v>-1.3093940674363411</v>
      </c>
      <c r="H47">
        <f ca="1">(INDIRECT("'Averages'!h47")-Averages!H$2)/STDEV(INDIRECT("'Averages'!h$4"):INDIRECT("'Averages'!h$444"))</f>
        <v>-0.6484588862055517</v>
      </c>
      <c r="I47">
        <f ca="1">(INDIRECT("'Averages'!i47")-Averages!I$2)/STDEV(INDIRECT("'Averages'!i$4"):INDIRECT("'Averages'!i$444"))</f>
        <v>-0.7701076797524309</v>
      </c>
      <c r="J47">
        <f ca="1">(INDIRECT("'Averages'!j47")-Averages!J$2)/STDEV(INDIRECT("'Averages'!j$4"):INDIRECT("'Averages'!j$444"))</f>
        <v>0</v>
      </c>
      <c r="K47">
        <f ca="1">(INDIRECT("'Averages'!k47")-Averages!K$2)/STDEV(INDIRECT("'Averages'!k$4"):INDIRECT("'Averages'!k$444"))</f>
        <v>0</v>
      </c>
      <c r="L47">
        <f ca="1">(INDIRECT("'Averages'!L47")-Averages!L$2)/STDEV(INDIRECT("'Averages'!L$4"):INDIRECT("'Averages'!L$444"))</f>
        <v>0</v>
      </c>
      <c r="M47">
        <f ca="1">(INDIRECT("'Averages'!m2")-Averages!M$2)/STDEV(INDIRECT("'Averages'!m$4"):INDIRECT("'Averages'!m$444"))</f>
        <v>0</v>
      </c>
      <c r="P47">
        <f t="shared" si="0"/>
        <v>-1.9363011010238382</v>
      </c>
    </row>
    <row r="48" spans="1:16" ht="15">
      <c r="A48">
        <f>Averages!A48</f>
        <v>0</v>
      </c>
      <c r="B48">
        <f ca="1">(INDIRECT("'Averages'!$B48")-Averages!B$2)/STDEV(INDIRECT("'Averages'!$B4"):INDIRECT("'Averages'!$B444"))</f>
        <v>-0.8663149959690197</v>
      </c>
      <c r="C48">
        <f ca="1">(INDIRECT("'Averages'!$C34")-Averages!$C$2)/STDEV(INDIRECT("'Averages'!$C4"):INDIRECT("'Averages'!$C444"))</f>
        <v>0</v>
      </c>
      <c r="D48">
        <f ca="1">(INDIRECT("'Averages'!d48")-Averages!$D$2)/STDEV(INDIRECT("'Averages'!$d4"):INDIRECT("'Averages'!$d444"))</f>
        <v>-0.07465546359853419</v>
      </c>
      <c r="E48">
        <f ca="1">((INDIRECT("'Averages'!E48")-Averages!E$2)/STDEV(INDIRECT("'Averages'!e$4"):INDIRECT("'Averages'!e$444")))</f>
        <v>0</v>
      </c>
      <c r="F48">
        <f ca="1">((INDIRECT("'Averages'!f48")-Averages!F$2)/STDEV(INDIRECT("'Averages'!f$4"):INDIRECT("'Averages'!f$444")))</f>
        <v>0</v>
      </c>
      <c r="G48">
        <f ca="1">((INDIRECT("'Averages'!g48")-Averages!G$2)/STDEV(INDIRECT("'Averages'!g$4"):INDIRECT("'Averages'!g$444")))</f>
        <v>-1.3093940674363411</v>
      </c>
      <c r="H48">
        <f ca="1">(INDIRECT("'Averages'!h48")-Averages!H$2)/STDEV(INDIRECT("'Averages'!h$4"):INDIRECT("'Averages'!h$444"))</f>
        <v>-0.6484588862055517</v>
      </c>
      <c r="I48">
        <f ca="1">(INDIRECT("'Averages'!i48")-Averages!I$2)/STDEV(INDIRECT("'Averages'!i$4"):INDIRECT("'Averages'!i$444"))</f>
        <v>-0.7701076797524309</v>
      </c>
      <c r="J48">
        <f ca="1">(INDIRECT("'Averages'!j48")-Averages!J$2)/STDEV(INDIRECT("'Averages'!j$4"):INDIRECT("'Averages'!j$444"))</f>
        <v>0</v>
      </c>
      <c r="K48">
        <f ca="1">(INDIRECT("'Averages'!k48")-Averages!K$2)/STDEV(INDIRECT("'Averages'!k$4"):INDIRECT("'Averages'!k$444"))</f>
        <v>0</v>
      </c>
      <c r="L48">
        <f ca="1">(INDIRECT("'Averages'!L48")-Averages!L$2)/STDEV(INDIRECT("'Averages'!L$4"):INDIRECT("'Averages'!L$444"))</f>
        <v>0</v>
      </c>
      <c r="M48">
        <f ca="1">(INDIRECT("'Averages'!m2")-Averages!M$2)/STDEV(INDIRECT("'Averages'!m$4"):INDIRECT("'Averages'!m$444"))</f>
        <v>0</v>
      </c>
      <c r="P48">
        <f t="shared" si="0"/>
        <v>-1.9363011010238382</v>
      </c>
    </row>
    <row r="49" spans="1:16" ht="15">
      <c r="A49">
        <f>Averages!A49</f>
        <v>0</v>
      </c>
      <c r="B49">
        <f ca="1">(INDIRECT("'Averages'!B49")-Averages!B$2)/STDEV(INDIRECT("'Averages'!$B4"):INDIRECT("'Averages'!$B444"))</f>
        <v>-0.8663149959690197</v>
      </c>
      <c r="C49">
        <f ca="1">(INDIRECT("'Averages'!$C34")-Averages!$C$2)/STDEV(INDIRECT("'Averages'!$C4"):INDIRECT("'Averages'!$C444"))</f>
        <v>0</v>
      </c>
      <c r="D49">
        <f ca="1">(INDIRECT("'Averages'!d49")-Averages!$D$2)/STDEV(INDIRECT("'Averages'!$d4"):INDIRECT("'Averages'!$d444"))</f>
        <v>-0.07465546359853419</v>
      </c>
      <c r="E49">
        <f ca="1">((INDIRECT("'Averages'!E49")-Averages!E$2)/STDEV(INDIRECT("'Averages'!e$4"):INDIRECT("'Averages'!e$444")))</f>
        <v>0</v>
      </c>
      <c r="F49">
        <f ca="1">((INDIRECT("'Averages'!f49")-Averages!F$2)/STDEV(INDIRECT("'Averages'!f$4"):INDIRECT("'Averages'!f$444")))</f>
        <v>0</v>
      </c>
      <c r="G49">
        <f ca="1">((INDIRECT("'Averages'!g49")-Averages!G$2)/STDEV(INDIRECT("'Averages'!g$4"):INDIRECT("'Averages'!g$444")))</f>
        <v>-1.3093940674363411</v>
      </c>
      <c r="H49">
        <f ca="1">(INDIRECT("'Averages'!h49")-Averages!H$2)/STDEV(INDIRECT("'Averages'!h$4"):INDIRECT("'Averages'!h$444"))</f>
        <v>-0.6484588862055517</v>
      </c>
      <c r="I49">
        <f ca="1">(INDIRECT("'Averages'!i49")-Averages!I$2)/STDEV(INDIRECT("'Averages'!i$4"):INDIRECT("'Averages'!i$444"))</f>
        <v>-0.7701076797524309</v>
      </c>
      <c r="J49">
        <f ca="1">(INDIRECT("'Averages'!j49")-Averages!J$2)/STDEV(INDIRECT("'Averages'!j$4"):INDIRECT("'Averages'!j$444"))</f>
        <v>0</v>
      </c>
      <c r="K49">
        <f ca="1">(INDIRECT("'Averages'!k49")-Averages!K$2)/STDEV(INDIRECT("'Averages'!k$4"):INDIRECT("'Averages'!k$444"))</f>
        <v>0</v>
      </c>
      <c r="L49">
        <f ca="1">(INDIRECT("'Averages'!L49")-Averages!L$2)/STDEV(INDIRECT("'Averages'!L$4"):INDIRECT("'Averages'!L$444"))</f>
        <v>0</v>
      </c>
      <c r="M49">
        <f ca="1">(INDIRECT("'Averages'!m2")-Averages!M$2)/STDEV(INDIRECT("'Averages'!m$4"):INDIRECT("'Averages'!m$444"))</f>
        <v>0</v>
      </c>
      <c r="P49">
        <f t="shared" si="0"/>
        <v>-1.9363011010238382</v>
      </c>
    </row>
    <row r="50" spans="1:16" ht="15">
      <c r="A50">
        <f>Averages!A50</f>
        <v>0</v>
      </c>
      <c r="B50">
        <f ca="1">(INDIRECT("'Averages'!B50")-Averages!B$2)/STDEV(INDIRECT("'Averages'!$B4"):INDIRECT("'Averages'!$B444"))</f>
        <v>-0.8663149959690197</v>
      </c>
      <c r="C50">
        <f ca="1">(INDIRECT("'Averages'!$C34")-Averages!$C$2)/STDEV(INDIRECT("'Averages'!$C4"):INDIRECT("'Averages'!$C444"))</f>
        <v>0</v>
      </c>
      <c r="D50">
        <f ca="1">(INDIRECT("'Averages'!d50")-Averages!$D$2)/STDEV(INDIRECT("'Averages'!$d4"):INDIRECT("'Averages'!$d444"))</f>
        <v>-0.07465546359853419</v>
      </c>
      <c r="E50">
        <f ca="1">((INDIRECT("'Averages'!E50")-Averages!E$2)/STDEV(INDIRECT("'Averages'!e$4"):INDIRECT("'Averages'!e$444")))</f>
        <v>0</v>
      </c>
      <c r="F50">
        <f ca="1">((INDIRECT("'Averages'!f50")-Averages!F$2)/STDEV(INDIRECT("'Averages'!f$4"):INDIRECT("'Averages'!f$444")))</f>
        <v>0</v>
      </c>
      <c r="G50">
        <f ca="1">((INDIRECT("'Averages'!g50")-Averages!G$2)/STDEV(INDIRECT("'Averages'!g$4"):INDIRECT("'Averages'!g$444")))</f>
        <v>-1.3093940674363411</v>
      </c>
      <c r="H50">
        <f ca="1">(INDIRECT("'Averages'!h50")-Averages!H$2)/STDEV(INDIRECT("'Averages'!h$4"):INDIRECT("'Averages'!h$444"))</f>
        <v>-0.6484588862055517</v>
      </c>
      <c r="I50">
        <f ca="1">(INDIRECT("'Averages'!i50")-Averages!I$2)/STDEV(INDIRECT("'Averages'!i$4"):INDIRECT("'Averages'!i$444"))</f>
        <v>-0.7701076797524309</v>
      </c>
      <c r="J50">
        <f ca="1">(INDIRECT("'Averages'!j50")-Averages!J$2)/STDEV(INDIRECT("'Averages'!j$4"):INDIRECT("'Averages'!j$444"))</f>
        <v>0</v>
      </c>
      <c r="K50">
        <f ca="1">(INDIRECT("'Averages'!k50")-Averages!K$2)/STDEV(INDIRECT("'Averages'!k$4"):INDIRECT("'Averages'!k$444"))</f>
        <v>0</v>
      </c>
      <c r="L50">
        <f ca="1">(INDIRECT("'Averages'!L50")-Averages!L$2)/STDEV(INDIRECT("'Averages'!L$4"):INDIRECT("'Averages'!L$444"))</f>
        <v>0</v>
      </c>
      <c r="M50">
        <f ca="1">(INDIRECT("'Averages'!m2")-Averages!M$2)/STDEV(INDIRECT("'Averages'!m$4"):INDIRECT("'Averages'!m$444"))</f>
        <v>0</v>
      </c>
      <c r="P50">
        <f t="shared" si="0"/>
        <v>-1.9363011010238382</v>
      </c>
    </row>
    <row r="51" spans="1:16" ht="15">
      <c r="A51">
        <f>Averages!A51</f>
        <v>0</v>
      </c>
      <c r="B51">
        <f ca="1">(INDIRECT("'Averages'!B51")-Averages!B$2)/STDEV(INDIRECT("'Averages'!$B4"):INDIRECT("'Averages'!$B444"))</f>
        <v>-0.8663149959690197</v>
      </c>
      <c r="C51">
        <f ca="1">(INDIRECT("'Averages'!$C34")-Averages!$C$2)/STDEV(INDIRECT("'Averages'!$C4"):INDIRECT("'Averages'!$C444"))</f>
        <v>0</v>
      </c>
      <c r="D51">
        <f ca="1">(INDIRECT("'Averages'!d51")-Averages!$D$2)/STDEV(INDIRECT("'Averages'!$d4"):INDIRECT("'Averages'!$d444"))</f>
        <v>-0.07465546359853419</v>
      </c>
      <c r="E51">
        <f ca="1">((INDIRECT("'Averages'!E51")-Averages!E$2)/STDEV(INDIRECT("'Averages'!e$4"):INDIRECT("'Averages'!e$444")))</f>
        <v>0</v>
      </c>
      <c r="F51">
        <f ca="1">((INDIRECT("'Averages'!f51")-Averages!F$2)/STDEV(INDIRECT("'Averages'!f$4"):INDIRECT("'Averages'!f$444")))</f>
        <v>0</v>
      </c>
      <c r="G51">
        <f ca="1">((INDIRECT("'Averages'!g51")-Averages!G$2)/STDEV(INDIRECT("'Averages'!g$4"):INDIRECT("'Averages'!g$444")))</f>
        <v>-1.3093940674363411</v>
      </c>
      <c r="H51">
        <f ca="1">(INDIRECT("'Averages'!h51")-Averages!H$2)/STDEV(INDIRECT("'Averages'!h$4"):INDIRECT("'Averages'!h$444"))</f>
        <v>-0.6484588862055517</v>
      </c>
      <c r="I51">
        <f ca="1">(INDIRECT("'Averages'!i51")-Averages!I$2)/STDEV(INDIRECT("'Averages'!i$4"):INDIRECT("'Averages'!i$444"))</f>
        <v>-0.7701076797524309</v>
      </c>
      <c r="J51">
        <f ca="1">(INDIRECT("'Averages'!j51")-Averages!J$2)/STDEV(INDIRECT("'Averages'!j$4"):INDIRECT("'Averages'!j$444"))</f>
        <v>0</v>
      </c>
      <c r="K51">
        <f ca="1">(INDIRECT("'Averages'!k51")-Averages!K$2)/STDEV(INDIRECT("'Averages'!k$4"):INDIRECT("'Averages'!k$444"))</f>
        <v>0</v>
      </c>
      <c r="L51">
        <f ca="1">(INDIRECT("'Averages'!L51")-Averages!L$2)/STDEV(INDIRECT("'Averages'!L$4"):INDIRECT("'Averages'!L$444"))</f>
        <v>0</v>
      </c>
      <c r="M51">
        <f ca="1">(INDIRECT("'Averages'!m2")-Averages!M$2)/STDEV(INDIRECT("'Averages'!m$4"):INDIRECT("'Averages'!m$444"))</f>
        <v>0</v>
      </c>
      <c r="P51">
        <f t="shared" si="0"/>
        <v>-1.9363011010238382</v>
      </c>
    </row>
    <row r="52" spans="1:16" ht="15">
      <c r="A52">
        <f>Averages!A52</f>
        <v>0</v>
      </c>
      <c r="B52">
        <f ca="1">(INDIRECT("'Averages'!B52")-Averages!B$2)/STDEV(INDIRECT("'Averages'!$B4"):INDIRECT("'Averages'!$B444"))</f>
        <v>-0.8663149959690197</v>
      </c>
      <c r="C52">
        <f ca="1">(INDIRECT("'Averages'!$C34")-Averages!$C$2)/STDEV(INDIRECT("'Averages'!$C4"):INDIRECT("'Averages'!$C444"))</f>
        <v>0</v>
      </c>
      <c r="D52">
        <f ca="1">(INDIRECT("'Averages'!d52")-Averages!$D$2)/STDEV(INDIRECT("'Averages'!$d4"):INDIRECT("'Averages'!$d444"))</f>
        <v>-0.07465546359853419</v>
      </c>
      <c r="E52">
        <f ca="1">((INDIRECT("'Averages'!E52")-Averages!E$2)/STDEV(INDIRECT("'Averages'!e$4"):INDIRECT("'Averages'!e$444")))</f>
        <v>0</v>
      </c>
      <c r="F52">
        <f ca="1">((INDIRECT("'Averages'!f52")-Averages!F$2)/STDEV(INDIRECT("'Averages'!f$4"):INDIRECT("'Averages'!f$444")))</f>
        <v>0</v>
      </c>
      <c r="G52">
        <f ca="1">((INDIRECT("'Averages'!g52")-Averages!G$2)/STDEV(INDIRECT("'Averages'!g$4"):INDIRECT("'Averages'!g$444")))</f>
        <v>-1.3093940674363411</v>
      </c>
      <c r="H52">
        <f ca="1">(INDIRECT("'Averages'!h52")-Averages!H$2)/STDEV(INDIRECT("'Averages'!h$4"):INDIRECT("'Averages'!h$444"))</f>
        <v>-0.6484588862055517</v>
      </c>
      <c r="I52">
        <f ca="1">(INDIRECT("'Averages'!i52")-Averages!I$2)/STDEV(INDIRECT("'Averages'!i$4"):INDIRECT("'Averages'!i$444"))</f>
        <v>-0.7701076797524309</v>
      </c>
      <c r="J52">
        <f ca="1">(INDIRECT("'Averages'!j52")-Averages!J$2)/STDEV(INDIRECT("'Averages'!j$4"):INDIRECT("'Averages'!j$444"))</f>
        <v>0</v>
      </c>
      <c r="K52">
        <f ca="1">(INDIRECT("'Averages'!k52")-Averages!K$2)/STDEV(INDIRECT("'Averages'!k$4"):INDIRECT("'Averages'!k$444"))</f>
        <v>0</v>
      </c>
      <c r="L52">
        <f ca="1">(INDIRECT("'Averages'!L52")-Averages!L$2)/STDEV(INDIRECT("'Averages'!L$4"):INDIRECT("'Averages'!L$444"))</f>
        <v>0</v>
      </c>
      <c r="M52">
        <f ca="1">(INDIRECT("'Averages'!m2")-Averages!M$2)/STDEV(INDIRECT("'Averages'!m$4"):INDIRECT("'Averages'!m$444"))</f>
        <v>0</v>
      </c>
      <c r="P52">
        <f t="shared" si="0"/>
        <v>-1.9363011010238382</v>
      </c>
    </row>
    <row r="53" spans="1:16" ht="15">
      <c r="A53">
        <f>Averages!A53</f>
        <v>0</v>
      </c>
      <c r="B53">
        <f ca="1">(INDIRECT("'Averages'!B53")-Averages!B$2)/STDEV(INDIRECT("'Averages'!$B4"):INDIRECT("'Averages'!$B444"))</f>
        <v>-0.8663149959690197</v>
      </c>
      <c r="C53">
        <f ca="1">(INDIRECT("'Averages'!$C34")-Averages!$C$2)/STDEV(INDIRECT("'Averages'!$C4"):INDIRECT("'Averages'!$C444"))</f>
        <v>0</v>
      </c>
      <c r="D53">
        <f ca="1">(INDIRECT("'Averages'!d53")-Averages!$D$2)/STDEV(INDIRECT("'Averages'!$d4"):INDIRECT("'Averages'!$d444"))</f>
        <v>-0.07465546359853419</v>
      </c>
      <c r="E53">
        <f ca="1">((INDIRECT("'Averages'!E53")-Averages!E$2)/STDEV(INDIRECT("'Averages'!e$4"):INDIRECT("'Averages'!e$444")))</f>
        <v>0</v>
      </c>
      <c r="F53">
        <f ca="1">((INDIRECT("'Averages'!f53")-Averages!F$2)/STDEV(INDIRECT("'Averages'!f$4"):INDIRECT("'Averages'!f$444")))</f>
        <v>0</v>
      </c>
      <c r="G53">
        <f ca="1">((INDIRECT("'Averages'!g53")-Averages!G$2)/STDEV(INDIRECT("'Averages'!g$4"):INDIRECT("'Averages'!g$444")))</f>
        <v>-1.3093940674363411</v>
      </c>
      <c r="H53">
        <f ca="1">(INDIRECT("'Averages'!h53")-Averages!H$2)/STDEV(INDIRECT("'Averages'!h$4"):INDIRECT("'Averages'!h$444"))</f>
        <v>-0.6484588862055517</v>
      </c>
      <c r="I53">
        <f ca="1">(INDIRECT("'Averages'!i53")-Averages!I$2)/STDEV(INDIRECT("'Averages'!i$4"):INDIRECT("'Averages'!i$444"))</f>
        <v>-0.7701076797524309</v>
      </c>
      <c r="J53">
        <f ca="1">(INDIRECT("'Averages'!j53")-Averages!J$2)/STDEV(INDIRECT("'Averages'!j$4"):INDIRECT("'Averages'!j$444"))</f>
        <v>0</v>
      </c>
      <c r="K53">
        <f ca="1">(INDIRECT("'Averages'!k53")-Averages!K$2)/STDEV(INDIRECT("'Averages'!k$4"):INDIRECT("'Averages'!k$444"))</f>
        <v>0</v>
      </c>
      <c r="L53">
        <f ca="1">(INDIRECT("'Averages'!L53")-Averages!L$2)/STDEV(INDIRECT("'Averages'!L$4"):INDIRECT("'Averages'!L$444"))</f>
        <v>0</v>
      </c>
      <c r="M53">
        <f ca="1">(INDIRECT("'Averages'!m2")-Averages!M$2)/STDEV(INDIRECT("'Averages'!m$4"):INDIRECT("'Averages'!m$444"))</f>
        <v>0</v>
      </c>
      <c r="P53">
        <f t="shared" si="0"/>
        <v>-1.9363011010238382</v>
      </c>
    </row>
    <row r="54" spans="1:16" ht="15">
      <c r="A54">
        <f>Averages!A54</f>
        <v>0</v>
      </c>
      <c r="B54">
        <f ca="1">(INDIRECT("'Averages'!B54")-Averages!B$2)/STDEV(INDIRECT("'Averages'!$B4"):INDIRECT("'Averages'!$B444"))</f>
        <v>-0.8663149959690197</v>
      </c>
      <c r="C54">
        <f ca="1">(INDIRECT("'Averages'!$C34")-Averages!$C$2)/STDEV(INDIRECT("'Averages'!$C4"):INDIRECT("'Averages'!$C444"))</f>
        <v>0</v>
      </c>
      <c r="D54">
        <f ca="1">(INDIRECT("'Averages'!d54")-Averages!$D$2)/STDEV(INDIRECT("'Averages'!$d4"):INDIRECT("'Averages'!$d444"))</f>
        <v>-0.07465546359853419</v>
      </c>
      <c r="E54">
        <f ca="1">((INDIRECT("'Averages'!E54")-Averages!E$2)/STDEV(INDIRECT("'Averages'!e$4"):INDIRECT("'Averages'!e$444")))</f>
        <v>0</v>
      </c>
      <c r="F54">
        <f ca="1">((INDIRECT("'Averages'!f54")-Averages!F$2)/STDEV(INDIRECT("'Averages'!f$4"):INDIRECT("'Averages'!f$444")))</f>
        <v>0</v>
      </c>
      <c r="G54">
        <f ca="1">((INDIRECT("'Averages'!g54")-Averages!G$2)/STDEV(INDIRECT("'Averages'!g$4"):INDIRECT("'Averages'!g$444")))</f>
        <v>-1.3093940674363411</v>
      </c>
      <c r="H54">
        <f ca="1">(INDIRECT("'Averages'!h54")-Averages!H$2)/STDEV(INDIRECT("'Averages'!h$4"):INDIRECT("'Averages'!h$444"))</f>
        <v>-0.6484588862055517</v>
      </c>
      <c r="I54">
        <f ca="1">(INDIRECT("'Averages'!i54")-Averages!I$2)/STDEV(INDIRECT("'Averages'!i$4"):INDIRECT("'Averages'!i$444"))</f>
        <v>-0.7701076797524309</v>
      </c>
      <c r="J54">
        <f ca="1">(INDIRECT("'Averages'!j54")-Averages!J$2)/STDEV(INDIRECT("'Averages'!j$4"):INDIRECT("'Averages'!j$444"))</f>
        <v>0</v>
      </c>
      <c r="K54">
        <f ca="1">(INDIRECT("'Averages'!k54")-Averages!K$2)/STDEV(INDIRECT("'Averages'!k$4"):INDIRECT("'Averages'!k$444"))</f>
        <v>0</v>
      </c>
      <c r="L54">
        <f ca="1">(INDIRECT("'Averages'!L54")-Averages!L$2)/STDEV(INDIRECT("'Averages'!L$4"):INDIRECT("'Averages'!L$444"))</f>
        <v>0</v>
      </c>
      <c r="M54">
        <f ca="1">(INDIRECT("'Averages'!m2")-Averages!M$2)/STDEV(INDIRECT("'Averages'!m$4"):INDIRECT("'Averages'!m$444"))</f>
        <v>0</v>
      </c>
      <c r="P54">
        <f t="shared" si="0"/>
        <v>-1.9363011010238382</v>
      </c>
    </row>
    <row r="55" spans="1:16" ht="15">
      <c r="A55">
        <f>Averages!A55</f>
        <v>0</v>
      </c>
      <c r="B55">
        <f ca="1">(INDIRECT("'Averages'!B55")-Averages!B$2)/STDEV(INDIRECT("'Averages'!$B4"):INDIRECT("'Averages'!$B444"))</f>
        <v>-0.8663149959690197</v>
      </c>
      <c r="C55">
        <f ca="1">(INDIRECT("'Averages'!$C34")-Averages!$C$2)/STDEV(INDIRECT("'Averages'!$C4"):INDIRECT("'Averages'!$C444"))</f>
        <v>0</v>
      </c>
      <c r="D55">
        <f ca="1">(INDIRECT("'Averages'!d55")-Averages!$D$2)/STDEV(INDIRECT("'Averages'!$d4"):INDIRECT("'Averages'!$d444"))</f>
        <v>-0.07465546359853419</v>
      </c>
      <c r="E55">
        <f ca="1">((INDIRECT("'Averages'!E55")-Averages!E$2)/STDEV(INDIRECT("'Averages'!e$4"):INDIRECT("'Averages'!e$444")))</f>
        <v>0</v>
      </c>
      <c r="F55">
        <f ca="1">((INDIRECT("'Averages'!f55")-Averages!F$2)/STDEV(INDIRECT("'Averages'!f$4"):INDIRECT("'Averages'!f$444")))</f>
        <v>0</v>
      </c>
      <c r="G55">
        <f ca="1">((INDIRECT("'Averages'!g55")-Averages!G$2)/STDEV(INDIRECT("'Averages'!g$4"):INDIRECT("'Averages'!g$444")))</f>
        <v>-1.3093940674363411</v>
      </c>
      <c r="H55">
        <f ca="1">(INDIRECT("'Averages'!h55")-Averages!H$2)/STDEV(INDIRECT("'Averages'!h$4"):INDIRECT("'Averages'!h$444"))</f>
        <v>-0.6484588862055517</v>
      </c>
      <c r="I55">
        <f ca="1">(INDIRECT("'Averages'!i55")-Averages!I$2)/STDEV(INDIRECT("'Averages'!i$4"):INDIRECT("'Averages'!i$444"))</f>
        <v>-0.7701076797524309</v>
      </c>
      <c r="J55">
        <f ca="1">(INDIRECT("'Averages'!j55")-Averages!J$2)/STDEV(INDIRECT("'Averages'!j$4"):INDIRECT("'Averages'!j$444"))</f>
        <v>0</v>
      </c>
      <c r="K55">
        <f ca="1">(INDIRECT("'Averages'!k55")-Averages!K$2)/STDEV(INDIRECT("'Averages'!k$4"):INDIRECT("'Averages'!k$444"))</f>
        <v>0</v>
      </c>
      <c r="L55">
        <f ca="1">(INDIRECT("'Averages'!L55")-Averages!L$2)/STDEV(INDIRECT("'Averages'!L$4"):INDIRECT("'Averages'!L$444"))</f>
        <v>0</v>
      </c>
      <c r="M55">
        <f ca="1">(INDIRECT("'Averages'!m2")-Averages!M$2)/STDEV(INDIRECT("'Averages'!m$4"):INDIRECT("'Averages'!m$444"))</f>
        <v>0</v>
      </c>
      <c r="P55">
        <f t="shared" si="0"/>
        <v>-1.9363011010238382</v>
      </c>
    </row>
    <row r="56" spans="1:16" ht="15">
      <c r="A56">
        <f>Averages!A56</f>
        <v>0</v>
      </c>
      <c r="B56">
        <f ca="1">(INDIRECT("'Averages'!B56")-Averages!B$2)/STDEV(INDIRECT("'Averages'!$B4"):INDIRECT("'Averages'!$B444"))</f>
        <v>-0.8663149959690197</v>
      </c>
      <c r="C56">
        <f ca="1">(INDIRECT("'Averages'!$C34")-Averages!$C$2)/STDEV(INDIRECT("'Averages'!$C4"):INDIRECT("'Averages'!$C444"))</f>
        <v>0</v>
      </c>
      <c r="D56">
        <f ca="1">(INDIRECT("'Averages'!d56")-Averages!$D$2)/STDEV(INDIRECT("'Averages'!$d4"):INDIRECT("'Averages'!$d444"))</f>
        <v>-0.07465546359853419</v>
      </c>
      <c r="E56">
        <f ca="1">((INDIRECT("'Averages'!E56")-Averages!E$2)/STDEV(INDIRECT("'Averages'!e$4"):INDIRECT("'Averages'!e$444")))</f>
        <v>0</v>
      </c>
      <c r="F56">
        <f ca="1">((INDIRECT("'Averages'!f56")-Averages!F$2)/STDEV(INDIRECT("'Averages'!f$4"):INDIRECT("'Averages'!f$444")))</f>
        <v>0</v>
      </c>
      <c r="G56">
        <f ca="1">((INDIRECT("'Averages'!g56")-Averages!G$2)/STDEV(INDIRECT("'Averages'!g$4"):INDIRECT("'Averages'!g$444")))</f>
        <v>-1.3093940674363411</v>
      </c>
      <c r="H56">
        <f ca="1">(INDIRECT("'Averages'!h56")-Averages!H$2)/STDEV(INDIRECT("'Averages'!h$4"):INDIRECT("'Averages'!h$444"))</f>
        <v>-0.6484588862055517</v>
      </c>
      <c r="I56">
        <f ca="1">(INDIRECT("'Averages'!i56")-Averages!I$2)/STDEV(INDIRECT("'Averages'!i$4"):INDIRECT("'Averages'!i$444"))</f>
        <v>-0.7701076797524309</v>
      </c>
      <c r="J56">
        <f ca="1">(INDIRECT("'Averages'!j56")-Averages!J$2)/STDEV(INDIRECT("'Averages'!j$4"):INDIRECT("'Averages'!j$444"))</f>
        <v>0</v>
      </c>
      <c r="K56">
        <f ca="1">(INDIRECT("'Averages'!k56")-Averages!K$2)/STDEV(INDIRECT("'Averages'!k$4"):INDIRECT("'Averages'!k$444"))</f>
        <v>0</v>
      </c>
      <c r="L56">
        <f ca="1">(INDIRECT("'Averages'!L56")-Averages!L$2)/STDEV(INDIRECT("'Averages'!L$4"):INDIRECT("'Averages'!L$444"))</f>
        <v>0</v>
      </c>
      <c r="M56">
        <f ca="1">(INDIRECT("'Averages'!m2")-Averages!M$2)/STDEV(INDIRECT("'Averages'!m$4"):INDIRECT("'Averages'!m$444"))</f>
        <v>0</v>
      </c>
      <c r="P56">
        <f t="shared" si="0"/>
        <v>-1.9363011010238382</v>
      </c>
    </row>
    <row r="57" spans="1:16" ht="15">
      <c r="A57">
        <f>Averages!A57</f>
        <v>0</v>
      </c>
      <c r="B57">
        <f ca="1">(INDIRECT("'Averages'!B57")-Averages!B$2)/STDEV(INDIRECT("'Averages'!$B4"):INDIRECT("'Averages'!$B444"))</f>
        <v>-0.8663149959690197</v>
      </c>
      <c r="C57">
        <f ca="1">(INDIRECT("'Averages'!$C34")-Averages!$C$2)/STDEV(INDIRECT("'Averages'!$C4"):INDIRECT("'Averages'!$C444"))</f>
        <v>0</v>
      </c>
      <c r="D57">
        <f ca="1">(INDIRECT("'Averages'!d57")-Averages!$D$2)/STDEV(INDIRECT("'Averages'!$d4"):INDIRECT("'Averages'!$d444"))</f>
        <v>-0.07465546359853419</v>
      </c>
      <c r="E57">
        <f ca="1">((INDIRECT("'Averages'!E57")-Averages!E$2)/STDEV(INDIRECT("'Averages'!e$4"):INDIRECT("'Averages'!e$444")))</f>
        <v>0</v>
      </c>
      <c r="F57">
        <f ca="1">((INDIRECT("'Averages'!f57")-Averages!F$2)/STDEV(INDIRECT("'Averages'!f$4"):INDIRECT("'Averages'!f$444")))</f>
        <v>0</v>
      </c>
      <c r="G57">
        <f ca="1">((INDIRECT("'Averages'!g57")-Averages!G$2)/STDEV(INDIRECT("'Averages'!g$4"):INDIRECT("'Averages'!g$444")))</f>
        <v>-1.3093940674363411</v>
      </c>
      <c r="H57">
        <f ca="1">(INDIRECT("'Averages'!h57")-Averages!H$2)/STDEV(INDIRECT("'Averages'!h$4"):INDIRECT("'Averages'!h$444"))</f>
        <v>-0.6484588862055517</v>
      </c>
      <c r="I57">
        <f ca="1">(INDIRECT("'Averages'!i57")-Averages!I$2)/STDEV(INDIRECT("'Averages'!i$4"):INDIRECT("'Averages'!i$444"))</f>
        <v>-0.7701076797524309</v>
      </c>
      <c r="J57">
        <f ca="1">(INDIRECT("'Averages'!j57")-Averages!J$2)/STDEV(INDIRECT("'Averages'!j$4"):INDIRECT("'Averages'!j$444"))</f>
        <v>0</v>
      </c>
      <c r="K57">
        <f ca="1">(INDIRECT("'Averages'!k57")-Averages!K$2)/STDEV(INDIRECT("'Averages'!k$4"):INDIRECT("'Averages'!k$444"))</f>
        <v>0</v>
      </c>
      <c r="L57">
        <f ca="1">(INDIRECT("'Averages'!L57")-Averages!L$2)/STDEV(INDIRECT("'Averages'!L$4"):INDIRECT("'Averages'!L$444"))</f>
        <v>0</v>
      </c>
      <c r="M57">
        <f ca="1">(INDIRECT("'Averages'!m2")-Averages!M$2)/STDEV(INDIRECT("'Averages'!m$4"):INDIRECT("'Averages'!m$444"))</f>
        <v>0</v>
      </c>
      <c r="P57">
        <f t="shared" si="0"/>
        <v>-1.9363011010238382</v>
      </c>
    </row>
    <row r="58" spans="1:16" ht="15">
      <c r="A58">
        <f>Averages!A58</f>
        <v>0</v>
      </c>
      <c r="B58">
        <f ca="1">(INDIRECT("'Averages'!B58")-Averages!B$2)/STDEV(INDIRECT("'Averages'!$B4"):INDIRECT("'Averages'!$B444"))</f>
        <v>-0.8663149959690197</v>
      </c>
      <c r="C58">
        <f ca="1">(INDIRECT("'Averages'!$C34")-Averages!$C$2)/STDEV(INDIRECT("'Averages'!$C4"):INDIRECT("'Averages'!$C444"))</f>
        <v>0</v>
      </c>
      <c r="D58">
        <f ca="1">(INDIRECT("'Averages'!d58")-Averages!$D$2)/STDEV(INDIRECT("'Averages'!$d4"):INDIRECT("'Averages'!$d444"))</f>
        <v>-0.07465546359853419</v>
      </c>
      <c r="E58">
        <f ca="1">((INDIRECT("'Averages'!E58")-Averages!E$2)/STDEV(INDIRECT("'Averages'!e$4"):INDIRECT("'Averages'!e$444")))</f>
        <v>0</v>
      </c>
      <c r="F58">
        <f ca="1">((INDIRECT("'Averages'!f58")-Averages!F$2)/STDEV(INDIRECT("'Averages'!f$4"):INDIRECT("'Averages'!f$444")))</f>
        <v>0</v>
      </c>
      <c r="G58">
        <f ca="1">((INDIRECT("'Averages'!g58")-Averages!G$2)/STDEV(INDIRECT("'Averages'!g$4"):INDIRECT("'Averages'!g$444")))</f>
        <v>-1.3093940674363411</v>
      </c>
      <c r="H58">
        <f ca="1">(INDIRECT("'Averages'!h58")-Averages!H$2)/STDEV(INDIRECT("'Averages'!h$4"):INDIRECT("'Averages'!h$444"))</f>
        <v>-0.6484588862055517</v>
      </c>
      <c r="I58">
        <f ca="1">(INDIRECT("'Averages'!i58")-Averages!I$2)/STDEV(INDIRECT("'Averages'!i$4"):INDIRECT("'Averages'!i$444"))</f>
        <v>-0.7701076797524309</v>
      </c>
      <c r="J58">
        <f ca="1">(INDIRECT("'Averages'!j58")-Averages!J$2)/STDEV(INDIRECT("'Averages'!j$4"):INDIRECT("'Averages'!j$444"))</f>
        <v>0</v>
      </c>
      <c r="K58">
        <f ca="1">(INDIRECT("'Averages'!k58")-Averages!K$2)/STDEV(INDIRECT("'Averages'!k$4"):INDIRECT("'Averages'!k$444"))</f>
        <v>0</v>
      </c>
      <c r="L58">
        <f ca="1">(INDIRECT("'Averages'!L58")-Averages!L$2)/STDEV(INDIRECT("'Averages'!L$4"):INDIRECT("'Averages'!L$444"))</f>
        <v>0</v>
      </c>
      <c r="M58">
        <f ca="1">(INDIRECT("'Averages'!m2")-Averages!M$2)/STDEV(INDIRECT("'Averages'!m$4"):INDIRECT("'Averages'!m$444"))</f>
        <v>0</v>
      </c>
      <c r="P58">
        <f t="shared" si="0"/>
        <v>-1.9363011010238382</v>
      </c>
    </row>
    <row r="59" spans="1:16" ht="15">
      <c r="A59">
        <f>Averages!A59</f>
        <v>0</v>
      </c>
      <c r="B59">
        <f ca="1">(INDIRECT("'Averages'!B59")-Averages!B$2)/STDEV(INDIRECT("'Averages'!$B4"):INDIRECT("'Averages'!$B444"))</f>
        <v>-0.8663149959690197</v>
      </c>
      <c r="C59">
        <f ca="1">(INDIRECT("'Averages'!$C34")-Averages!$C$2)/STDEV(INDIRECT("'Averages'!$C4"):INDIRECT("'Averages'!$C444"))</f>
        <v>0</v>
      </c>
      <c r="D59">
        <f ca="1">(INDIRECT("'Averages'!d59")-Averages!$D$2)/STDEV(INDIRECT("'Averages'!$d4"):INDIRECT("'Averages'!$d444"))</f>
        <v>-0.07465546359853419</v>
      </c>
      <c r="E59">
        <f ca="1">((INDIRECT("'Averages'!E59")-Averages!E$2)/STDEV(INDIRECT("'Averages'!e$4"):INDIRECT("'Averages'!e$444")))</f>
        <v>0</v>
      </c>
      <c r="F59">
        <f ca="1">((INDIRECT("'Averages'!f59")-Averages!F$2)/STDEV(INDIRECT("'Averages'!f$4"):INDIRECT("'Averages'!f$444")))</f>
        <v>0</v>
      </c>
      <c r="G59">
        <f ca="1">((INDIRECT("'Averages'!g59")-Averages!G$2)/STDEV(INDIRECT("'Averages'!g$4"):INDIRECT("'Averages'!g$444")))</f>
        <v>-1.3093940674363411</v>
      </c>
      <c r="H59">
        <f ca="1">(INDIRECT("'Averages'!h59")-Averages!H$2)/STDEV(INDIRECT("'Averages'!h$4"):INDIRECT("'Averages'!h$444"))</f>
        <v>-0.6484588862055517</v>
      </c>
      <c r="I59">
        <f ca="1">(INDIRECT("'Averages'!i59")-Averages!I$2)/STDEV(INDIRECT("'Averages'!i$4"):INDIRECT("'Averages'!i$444"))</f>
        <v>-0.7701076797524309</v>
      </c>
      <c r="J59">
        <f ca="1">(INDIRECT("'Averages'!j59")-Averages!J$2)/STDEV(INDIRECT("'Averages'!j$4"):INDIRECT("'Averages'!j$444"))</f>
        <v>0</v>
      </c>
      <c r="K59">
        <f ca="1">(INDIRECT("'Averages'!k59")-Averages!K$2)/STDEV(INDIRECT("'Averages'!k$4"):INDIRECT("'Averages'!k$444"))</f>
        <v>0</v>
      </c>
      <c r="L59">
        <f ca="1">(INDIRECT("'Averages'!L59")-Averages!L$2)/STDEV(INDIRECT("'Averages'!L$4"):INDIRECT("'Averages'!L$444"))</f>
        <v>0</v>
      </c>
      <c r="M59">
        <f ca="1">(INDIRECT("'Averages'!m2")-Averages!M$2)/STDEV(INDIRECT("'Averages'!m$4"):INDIRECT("'Averages'!m$444"))</f>
        <v>0</v>
      </c>
      <c r="P59">
        <f t="shared" si="0"/>
        <v>-1.9363011010238382</v>
      </c>
    </row>
    <row r="60" spans="1:16" ht="15">
      <c r="A60">
        <f>Averages!A60</f>
        <v>0</v>
      </c>
      <c r="B60">
        <f ca="1">(INDIRECT("'Averages'!B60")-Averages!B$2)/STDEV(INDIRECT("'Averages'!$B4"):INDIRECT("'Averages'!$B444"))</f>
        <v>-0.8663149959690197</v>
      </c>
      <c r="C60">
        <f ca="1">(INDIRECT("'Averages'!$C34")-Averages!$C$2)/STDEV(INDIRECT("'Averages'!$C4"):INDIRECT("'Averages'!$C444"))</f>
        <v>0</v>
      </c>
      <c r="D60">
        <f ca="1">(INDIRECT("'Averages'!d60")-Averages!$D$2)/STDEV(INDIRECT("'Averages'!$d4"):INDIRECT("'Averages'!$d444"))</f>
        <v>-0.07465546359853419</v>
      </c>
      <c r="E60">
        <f ca="1">((INDIRECT("'Averages'!E60")-Averages!E$2)/STDEV(INDIRECT("'Averages'!e$4"):INDIRECT("'Averages'!e$444")))</f>
        <v>0</v>
      </c>
      <c r="F60">
        <f ca="1">((INDIRECT("'Averages'!f60")-Averages!F$2)/STDEV(INDIRECT("'Averages'!f$4"):INDIRECT("'Averages'!f$444")))</f>
        <v>0</v>
      </c>
      <c r="G60">
        <f ca="1">((INDIRECT("'Averages'!g60")-Averages!G$2)/STDEV(INDIRECT("'Averages'!g$4"):INDIRECT("'Averages'!g$444")))</f>
        <v>-1.3093940674363411</v>
      </c>
      <c r="H60">
        <f ca="1">(INDIRECT("'Averages'!h60")-Averages!H$2)/STDEV(INDIRECT("'Averages'!h$4"):INDIRECT("'Averages'!h$444"))</f>
        <v>-0.6484588862055517</v>
      </c>
      <c r="I60">
        <f ca="1">(INDIRECT("'Averages'!i60")-Averages!I$2)/STDEV(INDIRECT("'Averages'!i$4"):INDIRECT("'Averages'!i$444"))</f>
        <v>-0.7701076797524309</v>
      </c>
      <c r="J60">
        <f ca="1">(INDIRECT("'Averages'!j60")-Averages!J$2)/STDEV(INDIRECT("'Averages'!j$4"):INDIRECT("'Averages'!j$444"))</f>
        <v>0</v>
      </c>
      <c r="K60">
        <f ca="1">(INDIRECT("'Averages'!k60")-Averages!K$2)/STDEV(INDIRECT("'Averages'!k$4"):INDIRECT("'Averages'!k$444"))</f>
        <v>0</v>
      </c>
      <c r="L60">
        <f ca="1">(INDIRECT("'Averages'!L60")-Averages!L$2)/STDEV(INDIRECT("'Averages'!L$4"):INDIRECT("'Averages'!L$444"))</f>
        <v>0</v>
      </c>
      <c r="M60">
        <f ca="1">(INDIRECT("'Averages'!m2")-Averages!M$2)/STDEV(INDIRECT("'Averages'!m$4"):INDIRECT("'Averages'!m$444"))</f>
        <v>0</v>
      </c>
      <c r="P60">
        <f t="shared" si="0"/>
        <v>-1.9363011010238382</v>
      </c>
    </row>
    <row r="61" spans="1:16" ht="15">
      <c r="A61">
        <f>Averages!A61</f>
        <v>0</v>
      </c>
      <c r="B61">
        <f ca="1">(INDIRECT("'Averages'!B61")-Averages!B$2)/STDEV(INDIRECT("'Averages'!$B4"):INDIRECT("'Averages'!$B444"))</f>
        <v>-0.8663149959690197</v>
      </c>
      <c r="C61">
        <f ca="1">(INDIRECT("'Averages'!$C34")-Averages!$C$2)/STDEV(INDIRECT("'Averages'!$C4"):INDIRECT("'Averages'!$C444"))</f>
        <v>0</v>
      </c>
      <c r="D61">
        <f ca="1">(INDIRECT("'Averages'!d61")-Averages!$D$2)/STDEV(INDIRECT("'Averages'!$d4"):INDIRECT("'Averages'!$d444"))</f>
        <v>-0.07465546359853419</v>
      </c>
      <c r="E61">
        <f ca="1">((INDIRECT("'Averages'!E61")-Averages!E$2)/STDEV(INDIRECT("'Averages'!e$4"):INDIRECT("'Averages'!e$444")))</f>
        <v>0</v>
      </c>
      <c r="F61">
        <f ca="1">((INDIRECT("'Averages'!f61")-Averages!F$2)/STDEV(INDIRECT("'Averages'!f$4"):INDIRECT("'Averages'!f$444")))</f>
        <v>0</v>
      </c>
      <c r="G61">
        <f ca="1">((INDIRECT("'Averages'!g61")-Averages!G$2)/STDEV(INDIRECT("'Averages'!g$4"):INDIRECT("'Averages'!g$444")))</f>
        <v>-1.3093940674363411</v>
      </c>
      <c r="H61">
        <f ca="1">(INDIRECT("'Averages'!h61")-Averages!H$2)/STDEV(INDIRECT("'Averages'!h$4"):INDIRECT("'Averages'!h$444"))</f>
        <v>-0.6484588862055517</v>
      </c>
      <c r="I61">
        <f ca="1">(INDIRECT("'Averages'!i61")-Averages!I$2)/STDEV(INDIRECT("'Averages'!i$4"):INDIRECT("'Averages'!i$444"))</f>
        <v>-0.7701076797524309</v>
      </c>
      <c r="J61">
        <f ca="1">(INDIRECT("'Averages'!j61")-Averages!J$2)/STDEV(INDIRECT("'Averages'!j$4"):INDIRECT("'Averages'!j$444"))</f>
        <v>0</v>
      </c>
      <c r="K61">
        <f ca="1">(INDIRECT("'Averages'!k61")-Averages!K$2)/STDEV(INDIRECT("'Averages'!k$4"):INDIRECT("'Averages'!k$444"))</f>
        <v>0</v>
      </c>
      <c r="L61">
        <f ca="1">(INDIRECT("'Averages'!L61")-Averages!L$2)/STDEV(INDIRECT("'Averages'!L$4"):INDIRECT("'Averages'!L$444"))</f>
        <v>0</v>
      </c>
      <c r="M61">
        <f ca="1">(INDIRECT("'Averages'!m2")-Averages!M$2)/STDEV(INDIRECT("'Averages'!m$4"):INDIRECT("'Averages'!m$444"))</f>
        <v>0</v>
      </c>
      <c r="P61">
        <f t="shared" si="0"/>
        <v>-1.9363011010238382</v>
      </c>
    </row>
    <row r="62" spans="1:16" ht="15">
      <c r="A62">
        <f>Averages!A62</f>
        <v>0</v>
      </c>
      <c r="B62">
        <f ca="1">(INDIRECT("'Averages'!B62")-Averages!B$2)/STDEV(INDIRECT("'Averages'!$B4"):INDIRECT("'Averages'!$B444"))</f>
        <v>-0.8663149959690197</v>
      </c>
      <c r="C62">
        <f ca="1">(INDIRECT("'Averages'!$C34")-Averages!$C$2)/STDEV(INDIRECT("'Averages'!$C4"):INDIRECT("'Averages'!$C444"))</f>
        <v>0</v>
      </c>
      <c r="D62">
        <f ca="1">(INDIRECT("'Averages'!d62")-Averages!$D$2)/STDEV(INDIRECT("'Averages'!$d4"):INDIRECT("'Averages'!$d444"))</f>
        <v>-0.07465546359853419</v>
      </c>
      <c r="E62">
        <f ca="1">((INDIRECT("'Averages'!E62")-Averages!E$2)/STDEV(INDIRECT("'Averages'!e$4"):INDIRECT("'Averages'!e$444")))</f>
        <v>0</v>
      </c>
      <c r="F62">
        <f ca="1">((INDIRECT("'Averages'!f62")-Averages!F$2)/STDEV(INDIRECT("'Averages'!f$4"):INDIRECT("'Averages'!f$444")))</f>
        <v>0</v>
      </c>
      <c r="G62">
        <f ca="1">((INDIRECT("'Averages'!g62")-Averages!G$2)/STDEV(INDIRECT("'Averages'!g$4"):INDIRECT("'Averages'!g$444")))</f>
        <v>-1.3093940674363411</v>
      </c>
      <c r="H62">
        <f ca="1">(INDIRECT("'Averages'!h62")-Averages!H$2)/STDEV(INDIRECT("'Averages'!h$4"):INDIRECT("'Averages'!h$444"))</f>
        <v>-0.6484588862055517</v>
      </c>
      <c r="I62">
        <f ca="1">(INDIRECT("'Averages'!i62")-Averages!I$2)/STDEV(INDIRECT("'Averages'!i$4"):INDIRECT("'Averages'!i$444"))</f>
        <v>-0.7701076797524309</v>
      </c>
      <c r="J62">
        <f ca="1">(INDIRECT("'Averages'!j62")-Averages!J$2)/STDEV(INDIRECT("'Averages'!j$4"):INDIRECT("'Averages'!j$444"))</f>
        <v>0</v>
      </c>
      <c r="K62">
        <f ca="1">(INDIRECT("'Averages'!k62")-Averages!K$2)/STDEV(INDIRECT("'Averages'!k$4"):INDIRECT("'Averages'!k$444"))</f>
        <v>0</v>
      </c>
      <c r="L62">
        <f ca="1">(INDIRECT("'Averages'!L62")-Averages!L$2)/STDEV(INDIRECT("'Averages'!L$4"):INDIRECT("'Averages'!L$444"))</f>
        <v>0</v>
      </c>
      <c r="M62">
        <f ca="1">(INDIRECT("'Averages'!m2")-Averages!M$2)/STDEV(INDIRECT("'Averages'!m$4"):INDIRECT("'Averages'!m$444"))</f>
        <v>0</v>
      </c>
      <c r="P62">
        <f t="shared" si="0"/>
        <v>-1.9363011010238382</v>
      </c>
    </row>
    <row r="63" spans="1:16" ht="15">
      <c r="A63">
        <f>Averages!A63</f>
        <v>0</v>
      </c>
      <c r="B63">
        <f ca="1">(INDIRECT("'Averages'!B63")-Averages!B$2)/STDEV(INDIRECT("'Averages'!$B4"):INDIRECT("'Averages'!$B444"))</f>
        <v>-0.8663149959690197</v>
      </c>
      <c r="C63">
        <f ca="1">(INDIRECT("'Averages'!$C34")-Averages!$C$2)/STDEV(INDIRECT("'Averages'!$C4"):INDIRECT("'Averages'!$C444"))</f>
        <v>0</v>
      </c>
      <c r="D63">
        <f ca="1">(INDIRECT("'Averages'!d63")-Averages!$D$2)/STDEV(INDIRECT("'Averages'!$d4"):INDIRECT("'Averages'!$d444"))</f>
        <v>-0.07465546359853419</v>
      </c>
      <c r="E63">
        <f ca="1">((INDIRECT("'Averages'!E63")-Averages!E$2)/STDEV(INDIRECT("'Averages'!e$4"):INDIRECT("'Averages'!e$444")))</f>
        <v>0</v>
      </c>
      <c r="F63">
        <f ca="1">((INDIRECT("'Averages'!f63")-Averages!F$2)/STDEV(INDIRECT("'Averages'!f$4"):INDIRECT("'Averages'!f$444")))</f>
        <v>0</v>
      </c>
      <c r="G63">
        <f ca="1">((INDIRECT("'Averages'!g63")-Averages!G$2)/STDEV(INDIRECT("'Averages'!g$4"):INDIRECT("'Averages'!g$444")))</f>
        <v>-1.3093940674363411</v>
      </c>
      <c r="H63">
        <f ca="1">(INDIRECT("'Averages'!h63")-Averages!H$2)/STDEV(INDIRECT("'Averages'!h$4"):INDIRECT("'Averages'!h$444"))</f>
        <v>-0.6484588862055517</v>
      </c>
      <c r="I63">
        <f ca="1">(INDIRECT("'Averages'!i63")-Averages!I$2)/STDEV(INDIRECT("'Averages'!i$4"):INDIRECT("'Averages'!i$444"))</f>
        <v>-0.7701076797524309</v>
      </c>
      <c r="J63">
        <f ca="1">(INDIRECT("'Averages'!j63")-Averages!J$2)/STDEV(INDIRECT("'Averages'!j$4"):INDIRECT("'Averages'!j$444"))</f>
        <v>0</v>
      </c>
      <c r="K63">
        <f ca="1">(INDIRECT("'Averages'!k63")-Averages!K$2)/STDEV(INDIRECT("'Averages'!k$4"):INDIRECT("'Averages'!k$444"))</f>
        <v>0</v>
      </c>
      <c r="L63">
        <f ca="1">(INDIRECT("'Averages'!L63")-Averages!L$2)/STDEV(INDIRECT("'Averages'!L$4"):INDIRECT("'Averages'!L$444"))</f>
        <v>0</v>
      </c>
      <c r="M63">
        <f ca="1">(INDIRECT("'Averages'!m2")-Averages!M$2)/STDEV(INDIRECT("'Averages'!m$4"):INDIRECT("'Averages'!m$444"))</f>
        <v>0</v>
      </c>
      <c r="P63">
        <f t="shared" si="0"/>
        <v>-1.9363011010238382</v>
      </c>
    </row>
    <row r="64" spans="1:16" ht="15">
      <c r="A64">
        <f>Averages!A64</f>
        <v>0</v>
      </c>
      <c r="B64">
        <f ca="1">(INDIRECT("'Averages'!B64")-Averages!B$2)/STDEV(INDIRECT("'Averages'!$B4"):INDIRECT("'Averages'!$B444"))</f>
        <v>-0.8663149959690197</v>
      </c>
      <c r="C64">
        <f ca="1">(INDIRECT("'Averages'!$C34")-Averages!$C$2)/STDEV(INDIRECT("'Averages'!$C4"):INDIRECT("'Averages'!$C444"))</f>
        <v>0</v>
      </c>
      <c r="D64">
        <f ca="1">(INDIRECT("'Averages'!d64")-Averages!$D$2)/STDEV(INDIRECT("'Averages'!$d4"):INDIRECT("'Averages'!$d444"))</f>
        <v>-0.07465546359853419</v>
      </c>
      <c r="E64">
        <f ca="1">((INDIRECT("'Averages'!E64")-Averages!E$2)/STDEV(INDIRECT("'Averages'!e$4"):INDIRECT("'Averages'!e$444")))</f>
        <v>0</v>
      </c>
      <c r="F64">
        <f ca="1">((INDIRECT("'Averages'!f64")-Averages!F$2)/STDEV(INDIRECT("'Averages'!f$4"):INDIRECT("'Averages'!f$444")))</f>
        <v>0</v>
      </c>
      <c r="G64">
        <f ca="1">((INDIRECT("'Averages'!g64")-Averages!G$2)/STDEV(INDIRECT("'Averages'!g$4"):INDIRECT("'Averages'!g$444")))</f>
        <v>-1.3093940674363411</v>
      </c>
      <c r="H64">
        <f ca="1">(INDIRECT("'Averages'!h64")-Averages!H$2)/STDEV(INDIRECT("'Averages'!h$4"):INDIRECT("'Averages'!h$444"))</f>
        <v>-0.6484588862055517</v>
      </c>
      <c r="I64">
        <f ca="1">(INDIRECT("'Averages'!i64")-Averages!I$2)/STDEV(INDIRECT("'Averages'!i$4"):INDIRECT("'Averages'!i$444"))</f>
        <v>-0.7701076797524309</v>
      </c>
      <c r="J64">
        <f ca="1">(INDIRECT("'Averages'!j64")-Averages!J$2)/STDEV(INDIRECT("'Averages'!j$4"):INDIRECT("'Averages'!j$444"))</f>
        <v>0</v>
      </c>
      <c r="K64">
        <f ca="1">(INDIRECT("'Averages'!k64")-Averages!K$2)/STDEV(INDIRECT("'Averages'!k$4"):INDIRECT("'Averages'!k$444"))</f>
        <v>0</v>
      </c>
      <c r="L64">
        <f ca="1">(INDIRECT("'Averages'!L64")-Averages!L$2)/STDEV(INDIRECT("'Averages'!L$4"):INDIRECT("'Averages'!L$444"))</f>
        <v>0</v>
      </c>
      <c r="M64">
        <f ca="1">(INDIRECT("'Averages'!m2")-Averages!M$2)/STDEV(INDIRECT("'Averages'!m$4"):INDIRECT("'Averages'!m$444"))</f>
        <v>0</v>
      </c>
      <c r="P64">
        <f t="shared" si="0"/>
        <v>-1.9363011010238382</v>
      </c>
    </row>
    <row r="65" spans="1:16" ht="15">
      <c r="A65">
        <f>Averages!A65</f>
        <v>0</v>
      </c>
      <c r="B65">
        <f ca="1">(INDIRECT("'Averages'!B65")-Averages!B$2)/STDEV(INDIRECT("'Averages'!$B4"):INDIRECT("'Averages'!$B444"))</f>
        <v>-0.8663149959690197</v>
      </c>
      <c r="C65">
        <f ca="1">(INDIRECT("'Averages'!$C34")-Averages!$C$2)/STDEV(INDIRECT("'Averages'!$C4"):INDIRECT("'Averages'!$C444"))</f>
        <v>0</v>
      </c>
      <c r="D65">
        <f ca="1">(INDIRECT("'Averages'!d65")-Averages!$D$2)/STDEV(INDIRECT("'Averages'!$d4"):INDIRECT("'Averages'!$d444"))</f>
        <v>-0.07465546359853419</v>
      </c>
      <c r="E65">
        <f ca="1">((INDIRECT("'Averages'!E65")-Averages!E$2)/STDEV(INDIRECT("'Averages'!e$4"):INDIRECT("'Averages'!e$444")))</f>
        <v>0</v>
      </c>
      <c r="F65">
        <f ca="1">((INDIRECT("'Averages'!f65")-Averages!F$2)/STDEV(INDIRECT("'Averages'!f$4"):INDIRECT("'Averages'!f$444")))</f>
        <v>0</v>
      </c>
      <c r="G65">
        <f ca="1">((INDIRECT("'Averages'!g65")-Averages!G$2)/STDEV(INDIRECT("'Averages'!g$4"):INDIRECT("'Averages'!g$444")))</f>
        <v>-1.3093940674363411</v>
      </c>
      <c r="H65">
        <f ca="1">(INDIRECT("'Averages'!h65")-Averages!H$2)/STDEV(INDIRECT("'Averages'!h$4"):INDIRECT("'Averages'!h$444"))</f>
        <v>-0.6484588862055517</v>
      </c>
      <c r="I65">
        <f ca="1">(INDIRECT("'Averages'!i65")-Averages!I$2)/STDEV(INDIRECT("'Averages'!i$4"):INDIRECT("'Averages'!i$444"))</f>
        <v>-0.7701076797524309</v>
      </c>
      <c r="J65">
        <f ca="1">(INDIRECT("'Averages'!j65")-Averages!J$2)/STDEV(INDIRECT("'Averages'!j$4"):INDIRECT("'Averages'!j$444"))</f>
        <v>0</v>
      </c>
      <c r="K65">
        <f ca="1">(INDIRECT("'Averages'!k65")-Averages!K$2)/STDEV(INDIRECT("'Averages'!k$4"):INDIRECT("'Averages'!k$444"))</f>
        <v>0</v>
      </c>
      <c r="L65">
        <f ca="1">(INDIRECT("'Averages'!L65")-Averages!L$2)/STDEV(INDIRECT("'Averages'!L$4"):INDIRECT("'Averages'!L$444"))</f>
        <v>0</v>
      </c>
      <c r="M65">
        <f ca="1">(INDIRECT("'Averages'!m2")-Averages!M$2)/STDEV(INDIRECT("'Averages'!m$4"):INDIRECT("'Averages'!m$444"))</f>
        <v>0</v>
      </c>
      <c r="P65">
        <f t="shared" si="0"/>
        <v>-1.9363011010238382</v>
      </c>
    </row>
    <row r="66" spans="1:16" ht="15">
      <c r="A66">
        <f>Averages!A66</f>
        <v>0</v>
      </c>
      <c r="B66">
        <f ca="1">(INDIRECT("'Averages'!B66")-Averages!B$2)/STDEV(INDIRECT("'Averages'!$B4"):INDIRECT("'Averages'!$B444"))</f>
        <v>-0.8663149959690197</v>
      </c>
      <c r="C66">
        <f ca="1">(INDIRECT("'Averages'!$C34")-Averages!$C$2)/STDEV(INDIRECT("'Averages'!$C4"):INDIRECT("'Averages'!$C444"))</f>
        <v>0</v>
      </c>
      <c r="D66">
        <f ca="1">(INDIRECT("'Averages'!d66")-Averages!$D$2)/STDEV(INDIRECT("'Averages'!$d4"):INDIRECT("'Averages'!$d444"))</f>
        <v>-0.07465546359853419</v>
      </c>
      <c r="E66">
        <f ca="1">((INDIRECT("'Averages'!E66")-Averages!E$2)/STDEV(INDIRECT("'Averages'!e$4"):INDIRECT("'Averages'!e$444")))</f>
        <v>0</v>
      </c>
      <c r="F66">
        <f ca="1">((INDIRECT("'Averages'!f66")-Averages!F$2)/STDEV(INDIRECT("'Averages'!f$4"):INDIRECT("'Averages'!f$444")))</f>
        <v>0</v>
      </c>
      <c r="G66">
        <f ca="1">((INDIRECT("'Averages'!g66")-Averages!G$2)/STDEV(INDIRECT("'Averages'!g$4"):INDIRECT("'Averages'!g$444")))</f>
        <v>-1.3093940674363411</v>
      </c>
      <c r="H66">
        <f ca="1">(INDIRECT("'Averages'!h66")-Averages!H$2)/STDEV(INDIRECT("'Averages'!h$4"):INDIRECT("'Averages'!h$444"))</f>
        <v>-0.6484588862055517</v>
      </c>
      <c r="I66">
        <f ca="1">(INDIRECT("'Averages'!i66")-Averages!I$2)/STDEV(INDIRECT("'Averages'!i$4"):INDIRECT("'Averages'!i$444"))</f>
        <v>-0.7701076797524309</v>
      </c>
      <c r="J66">
        <f ca="1">(INDIRECT("'Averages'!j66")-Averages!J$2)/STDEV(INDIRECT("'Averages'!j$4"):INDIRECT("'Averages'!j$444"))</f>
        <v>0</v>
      </c>
      <c r="K66">
        <f ca="1">(INDIRECT("'Averages'!k66")-Averages!K$2)/STDEV(INDIRECT("'Averages'!k$4"):INDIRECT("'Averages'!k$444"))</f>
        <v>0</v>
      </c>
      <c r="L66">
        <f ca="1">(INDIRECT("'Averages'!L66")-Averages!L$2)/STDEV(INDIRECT("'Averages'!L$4"):INDIRECT("'Averages'!L$444"))</f>
        <v>0</v>
      </c>
      <c r="M66">
        <f ca="1">(INDIRECT("'Averages'!m2")-Averages!M$2)/STDEV(INDIRECT("'Averages'!m$4"):INDIRECT("'Averages'!m$444"))</f>
        <v>0</v>
      </c>
      <c r="P66">
        <f t="shared" si="0"/>
        <v>-1.9363011010238382</v>
      </c>
    </row>
    <row r="67" spans="1:16" ht="15">
      <c r="A67">
        <f>Averages!A67</f>
        <v>0</v>
      </c>
      <c r="B67">
        <f ca="1">(INDIRECT("'Averages'!B4")-Averages!B$2)/STDEV(INDIRECT("'Averages'!$B4"):INDIRECT("'Averages'!$B444"))</f>
        <v>-0.8663149959690197</v>
      </c>
      <c r="C67">
        <f ca="1">(INDIRECT("'Averages'!$C34")-Averages!$C$2)/STDEV(INDIRECT("'Averages'!$C4"):INDIRECT("'Averages'!$C444"))</f>
        <v>0</v>
      </c>
      <c r="D67">
        <f ca="1">(INDIRECT("'Averages'!d67")-Averages!$D$2)/STDEV(INDIRECT("'Averages'!$d4"):INDIRECT("'Averages'!$d444"))</f>
        <v>-0.07465546359853419</v>
      </c>
      <c r="E67">
        <f ca="1">((INDIRECT("'Averages'!E67")-Averages!E$2)/STDEV(INDIRECT("'Averages'!e$4"):INDIRECT("'Averages'!e$444")))</f>
        <v>0</v>
      </c>
      <c r="F67">
        <f ca="1">((INDIRECT("'Averages'!f67")-Averages!F$2)/STDEV(INDIRECT("'Averages'!f$4"):INDIRECT("'Averages'!f$444")))</f>
        <v>0</v>
      </c>
      <c r="G67">
        <f ca="1">((INDIRECT("'Averages'!g67")-Averages!G$2)/STDEV(INDIRECT("'Averages'!g$4"):INDIRECT("'Averages'!g$444")))</f>
        <v>-1.3093940674363411</v>
      </c>
      <c r="H67">
        <f ca="1">(INDIRECT("'Averages'!h67")-Averages!H$2)/STDEV(INDIRECT("'Averages'!h$4"):INDIRECT("'Averages'!h$444"))</f>
        <v>-0.6484588862055517</v>
      </c>
      <c r="I67">
        <f ca="1">(INDIRECT("'Averages'!i67")-Averages!I$2)/STDEV(INDIRECT("'Averages'!i$4"):INDIRECT("'Averages'!i$444"))</f>
        <v>-0.7701076797524309</v>
      </c>
      <c r="J67">
        <f ca="1">(INDIRECT("'Averages'!j67")-Averages!J$2)/STDEV(INDIRECT("'Averages'!j$4"):INDIRECT("'Averages'!j$444"))</f>
        <v>0</v>
      </c>
      <c r="K67">
        <f ca="1">(INDIRECT("'Averages'!k67")-Averages!K$2)/STDEV(INDIRECT("'Averages'!k$4"):INDIRECT("'Averages'!k$444"))</f>
        <v>0</v>
      </c>
      <c r="L67">
        <f ca="1">(INDIRECT("'Averages'!L67")-Averages!L$2)/STDEV(INDIRECT("'Averages'!L$4"):INDIRECT("'Averages'!L$444"))</f>
        <v>0</v>
      </c>
      <c r="M67">
        <f ca="1">(INDIRECT("'Averages'!m2")-Averages!M$2)/STDEV(INDIRECT("'Averages'!m$4"):INDIRECT("'Averages'!m$444"))</f>
        <v>0</v>
      </c>
      <c r="P67">
        <f t="shared" si="0"/>
        <v>-1.9363011010238382</v>
      </c>
    </row>
    <row r="68" spans="1:16" ht="15">
      <c r="A68">
        <f>Averages!A68</f>
        <v>0</v>
      </c>
      <c r="B68">
        <f ca="1">(INDIRECT("'Averages'!B4")-Averages!B$2)/STDEV(INDIRECT("'Averages'!$B4"):INDIRECT("'Averages'!$B444"))</f>
        <v>-0.8663149959690197</v>
      </c>
      <c r="C68">
        <f ca="1">(INDIRECT("'Averages'!$C34")-Averages!$C$2)/STDEV(INDIRECT("'Averages'!$C4"):INDIRECT("'Averages'!$C444"))</f>
        <v>0</v>
      </c>
      <c r="D68">
        <f ca="1">(INDIRECT("'Averages'!d68")-Averages!$D$2)/STDEV(INDIRECT("'Averages'!$d4"):INDIRECT("'Averages'!$d444"))</f>
        <v>-0.07465546359853419</v>
      </c>
      <c r="E68">
        <f ca="1">((INDIRECT("'Averages'!E68")-Averages!E$2)/STDEV(INDIRECT("'Averages'!e$4"):INDIRECT("'Averages'!e$444")))</f>
        <v>0</v>
      </c>
      <c r="F68">
        <f ca="1">((INDIRECT("'Averages'!f68")-Averages!F$2)/STDEV(INDIRECT("'Averages'!f$4"):INDIRECT("'Averages'!f$444")))</f>
        <v>0</v>
      </c>
      <c r="G68">
        <f ca="1">((INDIRECT("'Averages'!g68")-Averages!G$2)/STDEV(INDIRECT("'Averages'!g$4"):INDIRECT("'Averages'!g$444")))</f>
        <v>-1.3093940674363411</v>
      </c>
      <c r="H68">
        <f ca="1">(INDIRECT("'Averages'!h68")-Averages!H$2)/STDEV(INDIRECT("'Averages'!h$4"):INDIRECT("'Averages'!h$444"))</f>
        <v>-0.6484588862055517</v>
      </c>
      <c r="I68">
        <f ca="1">(INDIRECT("'Averages'!i68")-Averages!I$2)/STDEV(INDIRECT("'Averages'!i$4"):INDIRECT("'Averages'!i$444"))</f>
        <v>-0.7701076797524309</v>
      </c>
      <c r="J68">
        <f ca="1">(INDIRECT("'Averages'!j68")-Averages!J$2)/STDEV(INDIRECT("'Averages'!j$4"):INDIRECT("'Averages'!j$444"))</f>
        <v>0</v>
      </c>
      <c r="K68">
        <f ca="1">(INDIRECT("'Averages'!k68")-Averages!K$2)/STDEV(INDIRECT("'Averages'!k$4"):INDIRECT("'Averages'!k$444"))</f>
        <v>0</v>
      </c>
      <c r="L68">
        <f ca="1">(INDIRECT("'Averages'!L68")-Averages!L$2)/STDEV(INDIRECT("'Averages'!L$4"):INDIRECT("'Averages'!L$444"))</f>
        <v>0</v>
      </c>
      <c r="M68">
        <f ca="1">(INDIRECT("'Averages'!m2")-Averages!M$2)/STDEV(INDIRECT("'Averages'!m$4"):INDIRECT("'Averages'!m$444"))</f>
        <v>0</v>
      </c>
      <c r="P68">
        <f aca="true" t="shared" si="1" ref="P68:P74">-B68-C68+D68+E68+F68+G68+H68+I68-J68+0.5*K68+L68-M68+N68+O68</f>
        <v>-1.9363011010238382</v>
      </c>
    </row>
    <row r="69" spans="1:16" ht="15">
      <c r="A69">
        <f>Averages!A69</f>
        <v>0</v>
      </c>
      <c r="B69">
        <f ca="1">(INDIRECT("'Averages'!B4")-Averages!B$2)/STDEV(INDIRECT("'Averages'!$B4"):INDIRECT("'Averages'!$B444"))</f>
        <v>-0.8663149959690197</v>
      </c>
      <c r="C69">
        <f ca="1">(INDIRECT("'Averages'!$C34")-Averages!$C$2)/STDEV(INDIRECT("'Averages'!$C4"):INDIRECT("'Averages'!$C444"))</f>
        <v>0</v>
      </c>
      <c r="D69">
        <f ca="1">(INDIRECT("'Averages'!d69")-Averages!$D$2)/STDEV(INDIRECT("'Averages'!$d4"):INDIRECT("'Averages'!$d444"))</f>
        <v>-0.07465546359853419</v>
      </c>
      <c r="E69">
        <f ca="1">((INDIRECT("'Averages'!E69")-Averages!E$2)/STDEV(INDIRECT("'Averages'!e$4"):INDIRECT("'Averages'!e$444")))</f>
        <v>0</v>
      </c>
      <c r="F69">
        <f ca="1">((INDIRECT("'Averages'!f69")-Averages!F$2)/STDEV(INDIRECT("'Averages'!f$4"):INDIRECT("'Averages'!f$444")))</f>
        <v>0</v>
      </c>
      <c r="G69">
        <f ca="1">((INDIRECT("'Averages'!g69")-Averages!G$2)/STDEV(INDIRECT("'Averages'!g$4"):INDIRECT("'Averages'!g$444")))</f>
        <v>-1.3093940674363411</v>
      </c>
      <c r="H69">
        <f ca="1">(INDIRECT("'Averages'!h69")-Averages!H$2)/STDEV(INDIRECT("'Averages'!h$4"):INDIRECT("'Averages'!h$444"))</f>
        <v>-0.6484588862055517</v>
      </c>
      <c r="I69">
        <f ca="1">(INDIRECT("'Averages'!i69")-Averages!I$2)/STDEV(INDIRECT("'Averages'!i$4"):INDIRECT("'Averages'!i$444"))</f>
        <v>-0.7701076797524309</v>
      </c>
      <c r="J69">
        <f ca="1">(INDIRECT("'Averages'!j69")-Averages!J$2)/STDEV(INDIRECT("'Averages'!j$4"):INDIRECT("'Averages'!j$444"))</f>
        <v>0</v>
      </c>
      <c r="K69">
        <f ca="1">(INDIRECT("'Averages'!k69")-Averages!K$2)/STDEV(INDIRECT("'Averages'!k$4"):INDIRECT("'Averages'!k$444"))</f>
        <v>0</v>
      </c>
      <c r="L69">
        <f ca="1">(INDIRECT("'Averages'!L69")-Averages!L$2)/STDEV(INDIRECT("'Averages'!L$4"):INDIRECT("'Averages'!L$444"))</f>
        <v>0</v>
      </c>
      <c r="M69">
        <f ca="1">(INDIRECT("'Averages'!m2")-Averages!M$2)/STDEV(INDIRECT("'Averages'!m$4"):INDIRECT("'Averages'!m$444"))</f>
        <v>0</v>
      </c>
      <c r="P69">
        <f t="shared" si="1"/>
        <v>-1.9363011010238382</v>
      </c>
    </row>
    <row r="70" spans="1:16" ht="15">
      <c r="A70">
        <f>Averages!A70</f>
        <v>0</v>
      </c>
      <c r="B70">
        <f ca="1">(INDIRECT("'Averages'!B4")-Averages!B$2)/STDEV(INDIRECT("'Averages'!$B4"):INDIRECT("'Averages'!$B444"))</f>
        <v>-0.8663149959690197</v>
      </c>
      <c r="C70">
        <f ca="1">(INDIRECT("'Averages'!$C34")-Averages!$C$2)/STDEV(INDIRECT("'Averages'!$C4"):INDIRECT("'Averages'!$C444"))</f>
        <v>0</v>
      </c>
      <c r="D70">
        <f ca="1">(INDIRECT("'Averages'!d70")-Averages!$D$2)/STDEV(INDIRECT("'Averages'!$d4"):INDIRECT("'Averages'!$d444"))</f>
        <v>-0.07465546359853419</v>
      </c>
      <c r="E70">
        <f ca="1">((INDIRECT("'Averages'!E70")-Averages!E$2)/STDEV(INDIRECT("'Averages'!e$4"):INDIRECT("'Averages'!e$444")))</f>
        <v>0</v>
      </c>
      <c r="F70">
        <f ca="1">((INDIRECT("'Averages'!f70")-Averages!F$2)/STDEV(INDIRECT("'Averages'!f$4"):INDIRECT("'Averages'!f$444")))</f>
        <v>0</v>
      </c>
      <c r="G70">
        <f ca="1">((INDIRECT("'Averages'!g70")-Averages!G$2)/STDEV(INDIRECT("'Averages'!g$4"):INDIRECT("'Averages'!g$444")))</f>
        <v>-1.3093940674363411</v>
      </c>
      <c r="H70">
        <f ca="1">(INDIRECT("'Averages'!h70")-Averages!H$2)/STDEV(INDIRECT("'Averages'!h$4"):INDIRECT("'Averages'!h$444"))</f>
        <v>-0.6484588862055517</v>
      </c>
      <c r="I70">
        <f ca="1">(INDIRECT("'Averages'!i70")-Averages!I$2)/STDEV(INDIRECT("'Averages'!i$4"):INDIRECT("'Averages'!i$444"))</f>
        <v>-0.7701076797524309</v>
      </c>
      <c r="J70">
        <f ca="1">(INDIRECT("'Averages'!j70")-Averages!J$2)/STDEV(INDIRECT("'Averages'!j$4"):INDIRECT("'Averages'!j$444"))</f>
        <v>0</v>
      </c>
      <c r="K70">
        <f ca="1">(INDIRECT("'Averages'!k70")-Averages!K$2)/STDEV(INDIRECT("'Averages'!k$4"):INDIRECT("'Averages'!k$444"))</f>
        <v>0</v>
      </c>
      <c r="L70">
        <f ca="1">(INDIRECT("'Averages'!L70")-Averages!L$2)/STDEV(INDIRECT("'Averages'!L$4"):INDIRECT("'Averages'!L$444"))</f>
        <v>0</v>
      </c>
      <c r="M70">
        <f ca="1">(INDIRECT("'Averages'!m2")-Averages!M$2)/STDEV(INDIRECT("'Averages'!m$4"):INDIRECT("'Averages'!m$444"))</f>
        <v>0</v>
      </c>
      <c r="P70">
        <f t="shared" si="1"/>
        <v>-1.9363011010238382</v>
      </c>
    </row>
    <row r="71" spans="1:16" ht="15">
      <c r="A71">
        <f>Averages!A71</f>
        <v>0</v>
      </c>
      <c r="B71">
        <f ca="1">(INDIRECT("'Averages'!B4")-Averages!B$2)/STDEV(INDIRECT("'Averages'!$B4"):INDIRECT("'Averages'!$B444"))</f>
        <v>-0.8663149959690197</v>
      </c>
      <c r="C71">
        <f ca="1">(INDIRECT("'Averages'!$C34")-Averages!$C$2)/STDEV(INDIRECT("'Averages'!$C4"):INDIRECT("'Averages'!$C444"))</f>
        <v>0</v>
      </c>
      <c r="D71">
        <f ca="1">(INDIRECT("'Averages'!d71")-Averages!$D$2)/STDEV(INDIRECT("'Averages'!$d4"):INDIRECT("'Averages'!$d444"))</f>
        <v>-0.07465546359853419</v>
      </c>
      <c r="E71">
        <f ca="1">((INDIRECT("'Averages'!E71")-Averages!E$2)/STDEV(INDIRECT("'Averages'!e$4"):INDIRECT("'Averages'!e$444")))</f>
        <v>0</v>
      </c>
      <c r="F71">
        <f ca="1">((INDIRECT("'Averages'!f71")-Averages!F$2)/STDEV(INDIRECT("'Averages'!f$4"):INDIRECT("'Averages'!f$444")))</f>
        <v>0</v>
      </c>
      <c r="G71">
        <f ca="1">((INDIRECT("'Averages'!g71")-Averages!G$2)/STDEV(INDIRECT("'Averages'!g$4"):INDIRECT("'Averages'!g$444")))</f>
        <v>-1.3093940674363411</v>
      </c>
      <c r="H71">
        <f ca="1">(INDIRECT("'Averages'!h71")-Averages!H$2)/STDEV(INDIRECT("'Averages'!h$4"):INDIRECT("'Averages'!h$444"))</f>
        <v>-0.6484588862055517</v>
      </c>
      <c r="I71">
        <f ca="1">(INDIRECT("'Averages'!i71")-Averages!I$2)/STDEV(INDIRECT("'Averages'!i$4"):INDIRECT("'Averages'!i$444"))</f>
        <v>-0.7701076797524309</v>
      </c>
      <c r="J71">
        <f ca="1">(INDIRECT("'Averages'!j71")-Averages!J$2)/STDEV(INDIRECT("'Averages'!j$4"):INDIRECT("'Averages'!j$444"))</f>
        <v>0</v>
      </c>
      <c r="K71">
        <f ca="1">(INDIRECT("'Averages'!k71")-Averages!K$2)/STDEV(INDIRECT("'Averages'!k$4"):INDIRECT("'Averages'!k$444"))</f>
        <v>0</v>
      </c>
      <c r="L71">
        <f ca="1">(INDIRECT("'Averages'!L71")-Averages!L$2)/STDEV(INDIRECT("'Averages'!L$4"):INDIRECT("'Averages'!L$444"))</f>
        <v>0</v>
      </c>
      <c r="M71">
        <f ca="1">(INDIRECT("'Averages'!m2")-Averages!M$2)/STDEV(INDIRECT("'Averages'!m$4"):INDIRECT("'Averages'!m$444"))</f>
        <v>0</v>
      </c>
      <c r="P71">
        <f t="shared" si="1"/>
        <v>-1.9363011010238382</v>
      </c>
    </row>
    <row r="72" spans="1:16" ht="15">
      <c r="A72">
        <f>Averages!A72</f>
        <v>0</v>
      </c>
      <c r="B72">
        <f ca="1">(INDIRECT("'Averages'!B4")-Averages!B$2)/STDEV(INDIRECT("'Averages'!$B4"):INDIRECT("'Averages'!$B444"))</f>
        <v>-0.8663149959690197</v>
      </c>
      <c r="C72">
        <f ca="1">(INDIRECT("'Averages'!$C34")-Averages!$C$2)/STDEV(INDIRECT("'Averages'!$C4"):INDIRECT("'Averages'!$C444"))</f>
        <v>0</v>
      </c>
      <c r="D72">
        <f ca="1">(INDIRECT("'Averages'!d72")-Averages!$D$2)/STDEV(INDIRECT("'Averages'!$d4"):INDIRECT("'Averages'!$d444"))</f>
        <v>-0.07465546359853419</v>
      </c>
      <c r="E72">
        <f ca="1">((INDIRECT("'Averages'!E72")-Averages!E$2)/STDEV(INDIRECT("'Averages'!e$4"):INDIRECT("'Averages'!e$444")))</f>
        <v>0</v>
      </c>
      <c r="F72">
        <f ca="1">((INDIRECT("'Averages'!f72")-Averages!F$2)/STDEV(INDIRECT("'Averages'!f$4"):INDIRECT("'Averages'!f$444")))</f>
        <v>0</v>
      </c>
      <c r="G72">
        <f ca="1">((INDIRECT("'Averages'!g72")-Averages!G$2)/STDEV(INDIRECT("'Averages'!g$4"):INDIRECT("'Averages'!g$444")))</f>
        <v>-1.3093940674363411</v>
      </c>
      <c r="H72">
        <f ca="1">(INDIRECT("'Averages'!h72")-Averages!H$2)/STDEV(INDIRECT("'Averages'!h$4"):INDIRECT("'Averages'!h$444"))</f>
        <v>-0.6484588862055517</v>
      </c>
      <c r="I72">
        <f ca="1">(INDIRECT("'Averages'!i72")-Averages!I$2)/STDEV(INDIRECT("'Averages'!i$4"):INDIRECT("'Averages'!i$444"))</f>
        <v>-0.7701076797524309</v>
      </c>
      <c r="J72">
        <f ca="1">(INDIRECT("'Averages'!j72")-Averages!J$2)/STDEV(INDIRECT("'Averages'!j$4"):INDIRECT("'Averages'!j$444"))</f>
        <v>0</v>
      </c>
      <c r="K72">
        <f ca="1">(INDIRECT("'Averages'!k72")-Averages!K$2)/STDEV(INDIRECT("'Averages'!k$4"):INDIRECT("'Averages'!k$444"))</f>
        <v>0</v>
      </c>
      <c r="L72">
        <f ca="1">(INDIRECT("'Averages'!L72")-Averages!L$2)/STDEV(INDIRECT("'Averages'!L$4"):INDIRECT("'Averages'!L$444"))</f>
        <v>0</v>
      </c>
      <c r="M72">
        <f ca="1">(INDIRECT("'Averages'!m2")-Averages!M$2)/STDEV(INDIRECT("'Averages'!m$4"):INDIRECT("'Averages'!m$444"))</f>
        <v>0</v>
      </c>
      <c r="P72">
        <f t="shared" si="1"/>
        <v>-1.9363011010238382</v>
      </c>
    </row>
    <row r="73" spans="1:16" ht="15">
      <c r="A73">
        <f>Averages!A73</f>
        <v>0</v>
      </c>
      <c r="B73">
        <f ca="1">(INDIRECT("'Averages'!B4")-Averages!B$2)/STDEV(INDIRECT("'Averages'!$B4"):INDIRECT("'Averages'!$B444"))</f>
        <v>-0.8663149959690197</v>
      </c>
      <c r="C73">
        <f ca="1">(INDIRECT("'Averages'!$C34")-Averages!$C$2)/STDEV(INDIRECT("'Averages'!$C4"):INDIRECT("'Averages'!$C444"))</f>
        <v>0</v>
      </c>
      <c r="D73">
        <f ca="1">(INDIRECT("'Averages'!d73")-Averages!$D$2)/STDEV(INDIRECT("'Averages'!$d4"):INDIRECT("'Averages'!$d444"))</f>
        <v>-0.07465546359853419</v>
      </c>
      <c r="E73">
        <f ca="1">((INDIRECT("'Averages'!E73")-Averages!E$2)/STDEV(INDIRECT("'Averages'!e$4"):INDIRECT("'Averages'!e$444")))</f>
        <v>0</v>
      </c>
      <c r="F73">
        <f ca="1">((INDIRECT("'Averages'!f73")-Averages!F$2)/STDEV(INDIRECT("'Averages'!f$4"):INDIRECT("'Averages'!f$444")))</f>
        <v>0</v>
      </c>
      <c r="G73">
        <f ca="1">((INDIRECT("'Averages'!g73")-Averages!G$2)/STDEV(INDIRECT("'Averages'!g$4"):INDIRECT("'Averages'!g$444")))</f>
        <v>-1.3093940674363411</v>
      </c>
      <c r="H73">
        <f ca="1">(INDIRECT("'Averages'!h73")-Averages!H$2)/STDEV(INDIRECT("'Averages'!h$4"):INDIRECT("'Averages'!h$444"))</f>
        <v>-0.6484588862055517</v>
      </c>
      <c r="I73">
        <f ca="1">(INDIRECT("'Averages'!i73")-Averages!I$2)/STDEV(INDIRECT("'Averages'!i$4"):INDIRECT("'Averages'!i$444"))</f>
        <v>-0.7701076797524309</v>
      </c>
      <c r="J73">
        <f ca="1">(INDIRECT("'Averages'!j73")-Averages!J$2)/STDEV(INDIRECT("'Averages'!j$4"):INDIRECT("'Averages'!j$444"))</f>
        <v>0</v>
      </c>
      <c r="K73">
        <f ca="1">(INDIRECT("'Averages'!k73")-Averages!K$2)/STDEV(INDIRECT("'Averages'!k$4"):INDIRECT("'Averages'!k$444"))</f>
        <v>0</v>
      </c>
      <c r="L73">
        <f ca="1">(INDIRECT("'Averages'!L73")-Averages!L$2)/STDEV(INDIRECT("'Averages'!L$4"):INDIRECT("'Averages'!L$444"))</f>
        <v>0</v>
      </c>
      <c r="M73">
        <f ca="1">(INDIRECT("'Averages'!m2")-Averages!M$2)/STDEV(INDIRECT("'Averages'!m$4"):INDIRECT("'Averages'!m$444"))</f>
        <v>0</v>
      </c>
      <c r="P73">
        <f t="shared" si="1"/>
        <v>-1.9363011010238382</v>
      </c>
    </row>
    <row r="74" spans="1:16" ht="15">
      <c r="A74">
        <f>Averages!A74</f>
        <v>0</v>
      </c>
      <c r="B74">
        <f ca="1">(INDIRECT("'Averages'!B4")-Averages!B$2)/STDEV(INDIRECT("'Averages'!$B4"):INDIRECT("'Averages'!$B444"))</f>
        <v>-0.8663149959690197</v>
      </c>
      <c r="C74">
        <f ca="1">(INDIRECT("'Averages'!$C34")-Averages!$C$2)/STDEV(INDIRECT("'Averages'!$C4"):INDIRECT("'Averages'!$C444"))</f>
        <v>0</v>
      </c>
      <c r="D74">
        <f ca="1">(INDIRECT("'Averages'!d74")-Averages!$D$2)/STDEV(INDIRECT("'Averages'!$d4"):INDIRECT("'Averages'!$d444"))</f>
        <v>-0.07465546359853419</v>
      </c>
      <c r="E74">
        <f ca="1">((INDIRECT("'Averages'!E74")-Averages!E$2)/STDEV(INDIRECT("'Averages'!e$4"):INDIRECT("'Averages'!e$444")))</f>
        <v>0</v>
      </c>
      <c r="F74">
        <f ca="1">((INDIRECT("'Averages'!f74")-Averages!F$2)/STDEV(INDIRECT("'Averages'!f$4"):INDIRECT("'Averages'!f$444")))</f>
        <v>0</v>
      </c>
      <c r="G74">
        <f ca="1">((INDIRECT("'Averages'!g74")-Averages!G$2)/STDEV(INDIRECT("'Averages'!g$4"):INDIRECT("'Averages'!g$444")))</f>
        <v>-1.3093940674363411</v>
      </c>
      <c r="H74">
        <f ca="1">(INDIRECT("'Averages'!h74")-Averages!H$2)/STDEV(INDIRECT("'Averages'!h$4"):INDIRECT("'Averages'!h$444"))</f>
        <v>-0.6484588862055517</v>
      </c>
      <c r="I74">
        <f ca="1">(INDIRECT("'Averages'!i74")-Averages!I$2)/STDEV(INDIRECT("'Averages'!i$4"):INDIRECT("'Averages'!i$444"))</f>
        <v>-0.7701076797524309</v>
      </c>
      <c r="J74">
        <f ca="1">(INDIRECT("'Averages'!j74")-Averages!J$2)/STDEV(INDIRECT("'Averages'!j$4"):INDIRECT("'Averages'!j$444"))</f>
        <v>0</v>
      </c>
      <c r="K74">
        <f ca="1">(INDIRECT("'Averages'!k74")-Averages!K$2)/STDEV(INDIRECT("'Averages'!k$4"):INDIRECT("'Averages'!k$444"))</f>
        <v>0</v>
      </c>
      <c r="L74">
        <f ca="1">(INDIRECT("'Averages'!L74")-Averages!L$2)/STDEV(INDIRECT("'Averages'!L$4"):INDIRECT("'Averages'!L$444"))</f>
        <v>0</v>
      </c>
      <c r="M74">
        <f ca="1">(INDIRECT("'Averages'!m2")-Averages!M$2)/STDEV(INDIRECT("'Averages'!m$4"):INDIRECT("'Averages'!m$444"))</f>
        <v>0</v>
      </c>
      <c r="P74">
        <f t="shared" si="1"/>
        <v>-1.9363011010238382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N100"/>
  <sheetViews>
    <sheetView zoomScalePageLayoutView="0" workbookViewId="0" topLeftCell="A1">
      <pane ySplit="3" topLeftCell="BM19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18.140625" style="0" customWidth="1"/>
  </cols>
  <sheetData>
    <row r="2" spans="1:35" ht="15">
      <c r="A2" t="s">
        <v>49</v>
      </c>
      <c r="B2">
        <f>AVERAGE(B78:B474)</f>
        <v>0.09523809523809523</v>
      </c>
      <c r="C2">
        <f aca="true" t="shared" si="0" ref="C2:O2">AVERAGE(C78:C474)</f>
        <v>0</v>
      </c>
      <c r="D2">
        <f t="shared" si="0"/>
        <v>0.047619047619047616</v>
      </c>
      <c r="E2">
        <f t="shared" si="0"/>
        <v>0</v>
      </c>
      <c r="F2">
        <f t="shared" si="0"/>
        <v>0</v>
      </c>
      <c r="G2">
        <f t="shared" si="0"/>
        <v>1.142857142857143</v>
      </c>
      <c r="H2">
        <f t="shared" si="0"/>
        <v>0.7142857142857143</v>
      </c>
      <c r="I2">
        <f t="shared" si="0"/>
        <v>0.5238095238095237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0.4761904761904761</v>
      </c>
      <c r="N2">
        <f t="shared" si="0"/>
        <v>0.23809523809523805</v>
      </c>
      <c r="O2">
        <f t="shared" si="0"/>
        <v>0.5238095238095237</v>
      </c>
      <c r="V2">
        <f>AVERAGE(V78:V474)</f>
        <v>0</v>
      </c>
      <c r="W2">
        <f aca="true" t="shared" si="1" ref="W2:AI2">AVERAGE(W78:W474)</f>
        <v>0</v>
      </c>
      <c r="X2">
        <f t="shared" si="1"/>
        <v>0</v>
      </c>
      <c r="Y2">
        <f t="shared" si="1"/>
        <v>0</v>
      </c>
      <c r="Z2">
        <f t="shared" si="1"/>
        <v>0</v>
      </c>
      <c r="AA2">
        <f t="shared" si="1"/>
        <v>0</v>
      </c>
      <c r="AB2">
        <f t="shared" si="1"/>
        <v>0</v>
      </c>
      <c r="AC2">
        <f t="shared" si="1"/>
        <v>0</v>
      </c>
      <c r="AD2">
        <f t="shared" si="1"/>
        <v>0</v>
      </c>
      <c r="AE2">
        <f t="shared" si="1"/>
        <v>0</v>
      </c>
      <c r="AF2">
        <f t="shared" si="1"/>
        <v>0</v>
      </c>
      <c r="AG2">
        <f t="shared" si="1"/>
        <v>0</v>
      </c>
      <c r="AH2">
        <f t="shared" si="1"/>
        <v>0</v>
      </c>
      <c r="AI2">
        <f t="shared" si="1"/>
        <v>0</v>
      </c>
    </row>
    <row r="3" spans="1:15" ht="15.75" thickBot="1">
      <c r="A3" s="31" t="s">
        <v>48</v>
      </c>
      <c r="B3" s="13" t="s">
        <v>15</v>
      </c>
      <c r="C3" s="25" t="s">
        <v>18</v>
      </c>
      <c r="D3" s="21" t="s">
        <v>5</v>
      </c>
      <c r="E3" s="21" t="s">
        <v>6</v>
      </c>
      <c r="F3" s="21" t="s">
        <v>7</v>
      </c>
      <c r="G3" s="22" t="s">
        <v>35</v>
      </c>
      <c r="H3" s="22" t="s">
        <v>36</v>
      </c>
      <c r="I3" s="22" t="s">
        <v>37</v>
      </c>
      <c r="J3" s="7" t="s">
        <v>9</v>
      </c>
      <c r="K3" s="7" t="s">
        <v>10</v>
      </c>
      <c r="L3" s="8" t="s">
        <v>19</v>
      </c>
      <c r="M3" s="18" t="s">
        <v>12</v>
      </c>
      <c r="N3" s="29" t="s">
        <v>21</v>
      </c>
      <c r="O3" s="29" t="s">
        <v>22</v>
      </c>
    </row>
    <row r="4" spans="1:15" ht="15">
      <c r="A4" s="32">
        <v>3260</v>
      </c>
      <c r="B4" s="33">
        <v>0</v>
      </c>
      <c r="C4" s="33">
        <v>0</v>
      </c>
      <c r="D4" s="34">
        <v>0</v>
      </c>
      <c r="E4" s="34">
        <v>0</v>
      </c>
      <c r="F4" s="34">
        <v>0</v>
      </c>
      <c r="G4" s="35">
        <v>0.7142857142857143</v>
      </c>
      <c r="H4" s="35">
        <v>0.14285714285714285</v>
      </c>
      <c r="I4" s="35">
        <v>0</v>
      </c>
      <c r="J4" s="36">
        <v>0</v>
      </c>
      <c r="K4" s="36">
        <v>0</v>
      </c>
      <c r="L4" s="37">
        <v>0</v>
      </c>
      <c r="M4" s="38">
        <v>0.14285714285714285</v>
      </c>
      <c r="N4" s="39">
        <v>0</v>
      </c>
      <c r="O4" s="39">
        <v>0</v>
      </c>
    </row>
    <row r="5" spans="1:15" ht="15">
      <c r="A5" s="32">
        <v>3193</v>
      </c>
      <c r="B5" s="33">
        <v>0</v>
      </c>
      <c r="C5" s="33">
        <v>0</v>
      </c>
      <c r="D5" s="34">
        <v>0</v>
      </c>
      <c r="E5" s="34">
        <v>0</v>
      </c>
      <c r="F5" s="34">
        <v>0</v>
      </c>
      <c r="G5" s="35">
        <v>2.5714285714285716</v>
      </c>
      <c r="H5" s="35">
        <v>0.5714285714285714</v>
      </c>
      <c r="I5" s="35">
        <v>0.8571428571428571</v>
      </c>
      <c r="J5" s="36">
        <v>0</v>
      </c>
      <c r="K5" s="36">
        <v>0</v>
      </c>
      <c r="L5" s="37">
        <v>0</v>
      </c>
      <c r="M5" s="38">
        <v>0.42857142857142855</v>
      </c>
      <c r="N5" s="39">
        <v>0.14285714285714285</v>
      </c>
      <c r="O5" s="39">
        <v>0.8571428571428571</v>
      </c>
    </row>
    <row r="6" spans="1:15" ht="15">
      <c r="A6" s="32">
        <v>3138</v>
      </c>
      <c r="B6" s="33">
        <v>0</v>
      </c>
      <c r="C6" s="33">
        <v>0</v>
      </c>
      <c r="D6" s="34">
        <v>0.5714285714285714</v>
      </c>
      <c r="E6" s="34">
        <v>0.5714285714285714</v>
      </c>
      <c r="F6" s="34">
        <v>0.14285714285714285</v>
      </c>
      <c r="G6" s="35">
        <v>1.2857142857142858</v>
      </c>
      <c r="H6" s="35">
        <v>1</v>
      </c>
      <c r="I6" s="35">
        <v>2.857142857142857</v>
      </c>
      <c r="J6" s="36">
        <v>0</v>
      </c>
      <c r="K6" s="36">
        <v>0</v>
      </c>
      <c r="L6" s="37">
        <v>0</v>
      </c>
      <c r="M6" s="38">
        <v>0.2857142857142857</v>
      </c>
      <c r="N6" s="39">
        <v>0.8571428571428571</v>
      </c>
      <c r="O6" s="39">
        <v>3.4285714285714284</v>
      </c>
    </row>
    <row r="7" spans="1:15" ht="15">
      <c r="A7" s="32">
        <v>3062</v>
      </c>
      <c r="B7" s="33">
        <v>0.2857142857142857</v>
      </c>
      <c r="C7" s="33">
        <v>0</v>
      </c>
      <c r="D7" s="34">
        <v>0</v>
      </c>
      <c r="E7" s="34">
        <v>0</v>
      </c>
      <c r="F7" s="34">
        <v>0</v>
      </c>
      <c r="G7" s="35">
        <v>0.7142857142857143</v>
      </c>
      <c r="H7" s="35">
        <v>0.8571428571428571</v>
      </c>
      <c r="I7" s="35">
        <v>0.2857142857142857</v>
      </c>
      <c r="J7" s="36">
        <v>0</v>
      </c>
      <c r="K7" s="36">
        <v>0</v>
      </c>
      <c r="L7" s="37">
        <v>0</v>
      </c>
      <c r="M7" s="38">
        <v>0.42857142857142855</v>
      </c>
      <c r="N7" s="39">
        <v>0.42857142857142855</v>
      </c>
      <c r="O7" s="39">
        <v>0.2857142857142857</v>
      </c>
    </row>
    <row r="8" spans="1:15" ht="15">
      <c r="A8" s="32">
        <v>2809</v>
      </c>
      <c r="B8" s="33">
        <v>0</v>
      </c>
      <c r="C8" s="33">
        <v>0</v>
      </c>
      <c r="D8" s="34">
        <v>0.16666666666666666</v>
      </c>
      <c r="E8" s="34">
        <v>0</v>
      </c>
      <c r="F8" s="34">
        <v>0</v>
      </c>
      <c r="G8" s="35">
        <v>2.8333333333333335</v>
      </c>
      <c r="H8" s="35">
        <v>2.8333333333333335</v>
      </c>
      <c r="I8" s="35">
        <v>0.5</v>
      </c>
      <c r="J8" s="36">
        <v>0</v>
      </c>
      <c r="K8" s="36">
        <v>0</v>
      </c>
      <c r="L8" s="37">
        <v>0</v>
      </c>
      <c r="M8" s="38">
        <v>0</v>
      </c>
      <c r="N8" s="39">
        <v>2.8333333333333335</v>
      </c>
      <c r="O8" s="39">
        <v>0.5</v>
      </c>
    </row>
    <row r="9" spans="1:15" ht="15">
      <c r="A9" s="32">
        <v>2656</v>
      </c>
      <c r="B9" s="33">
        <v>0.3333333333333333</v>
      </c>
      <c r="C9" s="33">
        <v>0</v>
      </c>
      <c r="D9" s="34">
        <v>0</v>
      </c>
      <c r="E9" s="34">
        <v>0</v>
      </c>
      <c r="F9" s="34">
        <v>0</v>
      </c>
      <c r="G9" s="35">
        <v>0.16666666666666666</v>
      </c>
      <c r="H9" s="35">
        <v>0</v>
      </c>
      <c r="I9" s="35">
        <v>0</v>
      </c>
      <c r="J9" s="36">
        <v>0</v>
      </c>
      <c r="K9" s="36">
        <v>0</v>
      </c>
      <c r="L9" s="37">
        <v>0</v>
      </c>
      <c r="M9" s="38">
        <v>0.16666666666666666</v>
      </c>
      <c r="N9" s="39">
        <v>-0.16666666666666666</v>
      </c>
      <c r="O9" s="39">
        <v>0</v>
      </c>
    </row>
    <row r="10" spans="1:15" ht="15">
      <c r="A10" s="32">
        <v>2641</v>
      </c>
      <c r="B10" s="33">
        <v>0</v>
      </c>
      <c r="C10" s="33">
        <v>0.16666666666666666</v>
      </c>
      <c r="D10" s="34">
        <v>0.16666666666666666</v>
      </c>
      <c r="E10" s="34">
        <v>0</v>
      </c>
      <c r="F10" s="34">
        <v>0</v>
      </c>
      <c r="G10" s="35">
        <v>0.5</v>
      </c>
      <c r="H10" s="35">
        <v>0</v>
      </c>
      <c r="I10" s="35">
        <v>0.3333333333333333</v>
      </c>
      <c r="J10" s="36">
        <v>0</v>
      </c>
      <c r="K10" s="36">
        <v>0</v>
      </c>
      <c r="L10" s="37">
        <v>0</v>
      </c>
      <c r="M10" s="38">
        <v>0.3333333333333333</v>
      </c>
      <c r="N10" s="39">
        <v>-0.3333333333333333</v>
      </c>
      <c r="O10" s="39">
        <v>0.3333333333333333</v>
      </c>
    </row>
    <row r="11" spans="1:15" ht="15">
      <c r="A11" s="32">
        <v>2618</v>
      </c>
      <c r="B11" s="33">
        <v>0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5">
        <v>0</v>
      </c>
      <c r="I11" s="35">
        <v>0</v>
      </c>
      <c r="J11" s="36">
        <v>0</v>
      </c>
      <c r="K11" s="36">
        <v>0</v>
      </c>
      <c r="L11" s="37">
        <v>0</v>
      </c>
      <c r="M11" s="38">
        <v>0</v>
      </c>
      <c r="N11" s="39">
        <v>0</v>
      </c>
      <c r="O11" s="39">
        <v>0</v>
      </c>
    </row>
    <row r="12" spans="1:15" ht="15">
      <c r="A12" s="32">
        <v>2614</v>
      </c>
      <c r="B12" s="33">
        <v>0</v>
      </c>
      <c r="C12" s="33">
        <v>0</v>
      </c>
      <c r="D12" s="34">
        <v>1</v>
      </c>
      <c r="E12" s="34">
        <v>0.625</v>
      </c>
      <c r="F12" s="34">
        <v>0.625</v>
      </c>
      <c r="G12" s="35">
        <v>1.25</v>
      </c>
      <c r="H12" s="35">
        <v>0.5</v>
      </c>
      <c r="I12" s="35">
        <v>1.25</v>
      </c>
      <c r="J12" s="36">
        <v>0</v>
      </c>
      <c r="K12" s="36">
        <v>0</v>
      </c>
      <c r="L12" s="37">
        <v>0.25</v>
      </c>
      <c r="M12" s="38">
        <v>0</v>
      </c>
      <c r="N12" s="39">
        <v>1.375</v>
      </c>
      <c r="O12" s="39">
        <v>1.875</v>
      </c>
    </row>
    <row r="13" spans="1:15" ht="15">
      <c r="A13" s="32">
        <v>2603</v>
      </c>
      <c r="B13" s="33">
        <v>0</v>
      </c>
      <c r="C13" s="33">
        <v>0</v>
      </c>
      <c r="D13" s="34">
        <v>0</v>
      </c>
      <c r="E13" s="34">
        <v>0</v>
      </c>
      <c r="F13" s="34">
        <v>0</v>
      </c>
      <c r="G13" s="35">
        <v>0.8571428571428571</v>
      </c>
      <c r="H13" s="35">
        <v>0</v>
      </c>
      <c r="I13" s="35">
        <v>0.42857142857142855</v>
      </c>
      <c r="J13" s="36">
        <v>0</v>
      </c>
      <c r="K13" s="36">
        <v>0</v>
      </c>
      <c r="L13" s="37">
        <v>0</v>
      </c>
      <c r="M13" s="38">
        <v>0.8571428571428571</v>
      </c>
      <c r="N13" s="39">
        <v>-0.8571428571428571</v>
      </c>
      <c r="O13" s="39">
        <v>0.42857142857142855</v>
      </c>
    </row>
    <row r="14" spans="1:15" ht="15">
      <c r="A14" s="32">
        <v>2544</v>
      </c>
      <c r="B14" s="33">
        <v>0</v>
      </c>
      <c r="C14" s="33">
        <v>0</v>
      </c>
      <c r="D14" s="34">
        <v>0</v>
      </c>
      <c r="E14" s="34">
        <v>0</v>
      </c>
      <c r="F14" s="34">
        <v>0</v>
      </c>
      <c r="G14" s="35">
        <v>0.8571428571428571</v>
      </c>
      <c r="H14" s="35">
        <v>0.2857142857142857</v>
      </c>
      <c r="I14" s="35">
        <v>0</v>
      </c>
      <c r="J14" s="36">
        <v>0.14285714285714285</v>
      </c>
      <c r="K14" s="36">
        <v>0</v>
      </c>
      <c r="L14" s="37">
        <v>0</v>
      </c>
      <c r="M14" s="38">
        <v>0.42857142857142855</v>
      </c>
      <c r="N14" s="39">
        <v>-0.14285714285714285</v>
      </c>
      <c r="O14" s="39">
        <v>0</v>
      </c>
    </row>
    <row r="15" spans="1:15" ht="15">
      <c r="A15" s="32">
        <v>2279</v>
      </c>
      <c r="B15" s="33">
        <v>0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5">
        <v>0</v>
      </c>
      <c r="I15" s="35">
        <v>0</v>
      </c>
      <c r="J15" s="36">
        <v>0</v>
      </c>
      <c r="K15" s="36">
        <v>0</v>
      </c>
      <c r="L15" s="37">
        <v>0</v>
      </c>
      <c r="M15" s="38">
        <v>0.16666666666666666</v>
      </c>
      <c r="N15" s="39">
        <v>-0.16666666666666666</v>
      </c>
      <c r="O15" s="39">
        <v>0</v>
      </c>
    </row>
    <row r="16" spans="1:15" ht="15">
      <c r="A16" s="32">
        <v>2252</v>
      </c>
      <c r="B16" s="33">
        <v>0</v>
      </c>
      <c r="C16" s="33">
        <v>0</v>
      </c>
      <c r="D16" s="34">
        <v>0</v>
      </c>
      <c r="E16" s="34">
        <v>0</v>
      </c>
      <c r="F16" s="34">
        <v>0</v>
      </c>
      <c r="G16" s="35">
        <v>2</v>
      </c>
      <c r="H16" s="35">
        <v>2.5</v>
      </c>
      <c r="I16" s="35">
        <v>0</v>
      </c>
      <c r="J16" s="36">
        <v>0</v>
      </c>
      <c r="K16" s="36">
        <v>0</v>
      </c>
      <c r="L16" s="37">
        <v>0</v>
      </c>
      <c r="M16" s="38">
        <v>0.16666666666666666</v>
      </c>
      <c r="N16" s="39">
        <v>2.3333333333333335</v>
      </c>
      <c r="O16" s="39">
        <v>0</v>
      </c>
    </row>
    <row r="17" spans="1:15" ht="15">
      <c r="A17" s="32">
        <v>2051</v>
      </c>
      <c r="B17" s="33">
        <v>0</v>
      </c>
      <c r="C17" s="33">
        <v>0</v>
      </c>
      <c r="D17" s="34">
        <v>0</v>
      </c>
      <c r="E17" s="34">
        <v>0</v>
      </c>
      <c r="F17" s="34">
        <v>0</v>
      </c>
      <c r="G17" s="35">
        <v>3.7142857142857144</v>
      </c>
      <c r="H17" s="35">
        <v>2</v>
      </c>
      <c r="I17" s="35">
        <v>0.42857142857142855</v>
      </c>
      <c r="J17" s="36">
        <v>0</v>
      </c>
      <c r="K17" s="36">
        <v>0</v>
      </c>
      <c r="L17" s="37">
        <v>0</v>
      </c>
      <c r="M17" s="38">
        <v>0.2857142857142857</v>
      </c>
      <c r="N17" s="39">
        <v>1.7142857142857142</v>
      </c>
      <c r="O17" s="39">
        <v>0.42857142857142855</v>
      </c>
    </row>
    <row r="18" spans="1:15" ht="15">
      <c r="A18" s="32">
        <v>1990</v>
      </c>
      <c r="B18" s="33">
        <v>0</v>
      </c>
      <c r="C18" s="33">
        <v>0</v>
      </c>
      <c r="D18" s="34">
        <v>0.7142857142857143</v>
      </c>
      <c r="E18" s="34">
        <v>0.5714285714285714</v>
      </c>
      <c r="F18" s="34">
        <v>0</v>
      </c>
      <c r="G18" s="35">
        <v>2.142857142857143</v>
      </c>
      <c r="H18" s="35">
        <v>0.2857142857142857</v>
      </c>
      <c r="I18" s="35">
        <v>0.7142857142857143</v>
      </c>
      <c r="J18" s="36">
        <v>0</v>
      </c>
      <c r="K18" s="36">
        <v>0</v>
      </c>
      <c r="L18" s="37">
        <v>0</v>
      </c>
      <c r="M18" s="38">
        <v>0.42857142857142855</v>
      </c>
      <c r="N18" s="39">
        <v>-0.14285714285714285</v>
      </c>
      <c r="O18" s="39">
        <v>1.2857142857142858</v>
      </c>
    </row>
    <row r="19" spans="1:15" ht="15">
      <c r="A19" s="32">
        <v>1743</v>
      </c>
      <c r="B19" s="33">
        <v>0</v>
      </c>
      <c r="C19" s="33">
        <v>0</v>
      </c>
      <c r="D19" s="34">
        <v>0</v>
      </c>
      <c r="E19" s="34">
        <v>0</v>
      </c>
      <c r="F19" s="34">
        <v>0</v>
      </c>
      <c r="G19" s="35">
        <v>0.5</v>
      </c>
      <c r="H19" s="35">
        <v>0</v>
      </c>
      <c r="I19" s="35">
        <v>1.5</v>
      </c>
      <c r="J19" s="36">
        <v>0</v>
      </c>
      <c r="K19" s="36">
        <v>0</v>
      </c>
      <c r="L19" s="37">
        <v>0</v>
      </c>
      <c r="M19" s="38">
        <v>0.16666666666666666</v>
      </c>
      <c r="N19" s="39">
        <v>-0.16666666666666666</v>
      </c>
      <c r="O19" s="39">
        <v>1.5</v>
      </c>
    </row>
    <row r="20" spans="1:15" ht="15">
      <c r="A20" s="32">
        <v>1708</v>
      </c>
      <c r="B20" s="33">
        <v>0</v>
      </c>
      <c r="C20" s="33">
        <v>0</v>
      </c>
      <c r="D20" s="34">
        <v>0</v>
      </c>
      <c r="E20" s="34">
        <v>0</v>
      </c>
      <c r="F20" s="34">
        <v>0</v>
      </c>
      <c r="G20" s="35">
        <v>0.5</v>
      </c>
      <c r="H20" s="35">
        <v>0</v>
      </c>
      <c r="I20" s="35">
        <v>0</v>
      </c>
      <c r="J20" s="36">
        <v>0</v>
      </c>
      <c r="K20" s="36">
        <v>0</v>
      </c>
      <c r="L20" s="37">
        <v>0</v>
      </c>
      <c r="M20" s="38">
        <v>0</v>
      </c>
      <c r="N20" s="39">
        <v>0</v>
      </c>
      <c r="O20" s="39">
        <v>0</v>
      </c>
    </row>
    <row r="21" spans="1:15" ht="15">
      <c r="A21" s="32">
        <v>1503</v>
      </c>
      <c r="B21" s="33">
        <v>0</v>
      </c>
      <c r="C21" s="33">
        <v>0</v>
      </c>
      <c r="D21" s="34">
        <v>0</v>
      </c>
      <c r="E21" s="34">
        <v>0</v>
      </c>
      <c r="F21" s="34">
        <v>0</v>
      </c>
      <c r="G21" s="35">
        <v>0.8571428571428571</v>
      </c>
      <c r="H21" s="35">
        <v>1.4285714285714286</v>
      </c>
      <c r="I21" s="35">
        <v>1.4285714285714286</v>
      </c>
      <c r="J21" s="36">
        <v>0</v>
      </c>
      <c r="K21" s="36">
        <v>0</v>
      </c>
      <c r="L21" s="37">
        <v>0</v>
      </c>
      <c r="M21" s="38">
        <v>0.2857142857142857</v>
      </c>
      <c r="N21" s="39">
        <v>1.1428571428571428</v>
      </c>
      <c r="O21" s="39">
        <v>1.4285714285714286</v>
      </c>
    </row>
    <row r="22" spans="1:15" ht="15">
      <c r="A22" s="32">
        <v>1317</v>
      </c>
      <c r="B22" s="33">
        <v>0.2857142857142857</v>
      </c>
      <c r="C22" s="33">
        <v>0.42857142857142855</v>
      </c>
      <c r="D22" s="34">
        <v>0</v>
      </c>
      <c r="E22" s="34">
        <v>0</v>
      </c>
      <c r="F22" s="34">
        <v>0</v>
      </c>
      <c r="G22" s="35">
        <v>0.5714285714285714</v>
      </c>
      <c r="H22" s="35">
        <v>1.2857142857142858</v>
      </c>
      <c r="I22" s="35">
        <v>0.14285714285714285</v>
      </c>
      <c r="J22" s="36">
        <v>0</v>
      </c>
      <c r="K22" s="36">
        <v>0</v>
      </c>
      <c r="L22" s="37">
        <v>0</v>
      </c>
      <c r="M22" s="38">
        <v>0</v>
      </c>
      <c r="N22" s="39">
        <v>1.2857142857142858</v>
      </c>
      <c r="O22" s="39">
        <v>0.14285714285714285</v>
      </c>
    </row>
    <row r="23" spans="1:15" ht="15">
      <c r="A23" s="32">
        <v>1279</v>
      </c>
      <c r="B23" s="33">
        <v>0</v>
      </c>
      <c r="C23" s="33">
        <v>0</v>
      </c>
      <c r="D23" s="34">
        <v>2.1666666666666665</v>
      </c>
      <c r="E23" s="34">
        <v>1.6666666666666667</v>
      </c>
      <c r="F23" s="34">
        <v>0.5</v>
      </c>
      <c r="G23" s="35">
        <v>1.1666666666666667</v>
      </c>
      <c r="H23" s="35">
        <v>1.3333333333333333</v>
      </c>
      <c r="I23" s="35">
        <v>1.6666666666666667</v>
      </c>
      <c r="J23" s="36">
        <v>0</v>
      </c>
      <c r="K23" s="36">
        <v>0</v>
      </c>
      <c r="L23" s="37">
        <v>0</v>
      </c>
      <c r="M23" s="38">
        <v>0</v>
      </c>
      <c r="N23" s="39">
        <v>1.8333333333333333</v>
      </c>
      <c r="O23" s="39">
        <v>3.3333333333333335</v>
      </c>
    </row>
    <row r="24" spans="1:15" ht="15">
      <c r="A24" s="32">
        <v>1249</v>
      </c>
      <c r="B24" s="33">
        <v>0</v>
      </c>
      <c r="C24" s="33">
        <v>0</v>
      </c>
      <c r="D24" s="34">
        <v>0.14285714285714285</v>
      </c>
      <c r="E24" s="34">
        <v>0</v>
      </c>
      <c r="F24" s="34">
        <v>0</v>
      </c>
      <c r="G24" s="35">
        <v>1.7142857142857142</v>
      </c>
      <c r="H24" s="35">
        <v>1.4285714285714286</v>
      </c>
      <c r="I24" s="35">
        <v>0.2857142857142857</v>
      </c>
      <c r="J24" s="36">
        <v>0</v>
      </c>
      <c r="K24" s="36">
        <v>0</v>
      </c>
      <c r="L24" s="37">
        <v>0</v>
      </c>
      <c r="M24" s="38">
        <v>0</v>
      </c>
      <c r="N24" s="39">
        <v>1.4285714285714286</v>
      </c>
      <c r="O24" s="39">
        <v>0.2857142857142857</v>
      </c>
    </row>
    <row r="25" spans="1:15" ht="15">
      <c r="A25" s="32">
        <v>1114</v>
      </c>
      <c r="B25" s="33">
        <v>0</v>
      </c>
      <c r="C25" s="33">
        <v>0</v>
      </c>
      <c r="D25" s="34">
        <v>3</v>
      </c>
      <c r="E25" s="34">
        <v>2</v>
      </c>
      <c r="F25" s="34">
        <v>1</v>
      </c>
      <c r="G25" s="35">
        <v>1.8571428571428572</v>
      </c>
      <c r="H25" s="35">
        <v>4.571428571428571</v>
      </c>
      <c r="I25" s="35">
        <v>2.2857142857142856</v>
      </c>
      <c r="J25" s="36">
        <v>0</v>
      </c>
      <c r="K25" s="36">
        <v>0</v>
      </c>
      <c r="L25" s="37">
        <v>1.4285714285714286</v>
      </c>
      <c r="M25" s="38">
        <v>0.2857142857142857</v>
      </c>
      <c r="N25" s="39">
        <v>6.714285714285714</v>
      </c>
      <c r="O25" s="39">
        <v>4.285714285714286</v>
      </c>
    </row>
    <row r="26" spans="1:15" ht="15">
      <c r="A26" s="32">
        <v>1038</v>
      </c>
      <c r="B26" s="33">
        <v>0</v>
      </c>
      <c r="C26" s="33">
        <v>0</v>
      </c>
      <c r="D26" s="34">
        <v>0.14285714285714285</v>
      </c>
      <c r="E26" s="34">
        <v>0</v>
      </c>
      <c r="F26" s="34">
        <v>0</v>
      </c>
      <c r="G26" s="35">
        <v>1.8571428571428572</v>
      </c>
      <c r="H26" s="35">
        <v>1.2857142857142858</v>
      </c>
      <c r="I26" s="35">
        <v>0.8571428571428571</v>
      </c>
      <c r="J26" s="36">
        <v>0</v>
      </c>
      <c r="K26" s="36">
        <v>0</v>
      </c>
      <c r="L26" s="37">
        <v>0</v>
      </c>
      <c r="M26" s="38">
        <v>0.14285714285714285</v>
      </c>
      <c r="N26" s="39">
        <v>1.1428571428571428</v>
      </c>
      <c r="O26" s="39">
        <v>0.8571428571428571</v>
      </c>
    </row>
    <row r="27" spans="1:15" ht="15">
      <c r="A27" s="32">
        <v>451</v>
      </c>
      <c r="B27" s="33">
        <v>0</v>
      </c>
      <c r="C27" s="33">
        <v>0</v>
      </c>
      <c r="D27" s="34">
        <v>0.5</v>
      </c>
      <c r="E27" s="34">
        <v>0.16666666666666666</v>
      </c>
      <c r="F27" s="34">
        <v>0.16666666666666666</v>
      </c>
      <c r="G27" s="35">
        <v>1.6666666666666667</v>
      </c>
      <c r="H27" s="35">
        <v>2.5</v>
      </c>
      <c r="I27" s="35">
        <v>0.8333333333333334</v>
      </c>
      <c r="J27" s="36">
        <v>0</v>
      </c>
      <c r="K27" s="36">
        <v>0</v>
      </c>
      <c r="L27" s="37">
        <v>0</v>
      </c>
      <c r="M27" s="38">
        <v>0</v>
      </c>
      <c r="N27" s="39">
        <v>2.6666666666666665</v>
      </c>
      <c r="O27" s="39">
        <v>1</v>
      </c>
    </row>
    <row r="28" spans="1:15" ht="15">
      <c r="A28" s="32">
        <v>433</v>
      </c>
      <c r="B28" s="33">
        <v>0</v>
      </c>
      <c r="C28" s="33">
        <v>0</v>
      </c>
      <c r="D28" s="34">
        <v>0.14285714285714285</v>
      </c>
      <c r="E28" s="34">
        <v>0</v>
      </c>
      <c r="F28" s="34">
        <v>0.14285714285714285</v>
      </c>
      <c r="G28" s="35">
        <v>0.5714285714285714</v>
      </c>
      <c r="H28" s="35">
        <v>0.42857142857142855</v>
      </c>
      <c r="I28" s="35">
        <v>0.8571428571428571</v>
      </c>
      <c r="J28" s="36">
        <v>0</v>
      </c>
      <c r="K28" s="36">
        <v>0</v>
      </c>
      <c r="L28" s="37">
        <v>0</v>
      </c>
      <c r="M28" s="38">
        <v>0</v>
      </c>
      <c r="N28" s="39">
        <v>0.5714285714285714</v>
      </c>
      <c r="O28" s="39">
        <v>0.8571428571428571</v>
      </c>
    </row>
    <row r="29" spans="1:15" ht="15">
      <c r="A29" s="32">
        <v>337</v>
      </c>
      <c r="B29" s="33">
        <v>0</v>
      </c>
      <c r="C29" s="33">
        <v>0</v>
      </c>
      <c r="D29" s="34">
        <v>0.14285714285714285</v>
      </c>
      <c r="E29" s="34">
        <v>0</v>
      </c>
      <c r="F29" s="34">
        <v>0</v>
      </c>
      <c r="G29" s="35">
        <v>1</v>
      </c>
      <c r="H29" s="35">
        <v>0.7142857142857143</v>
      </c>
      <c r="I29" s="35">
        <v>0.7142857142857143</v>
      </c>
      <c r="J29" s="36">
        <v>0</v>
      </c>
      <c r="K29" s="36">
        <v>0</v>
      </c>
      <c r="L29" s="37">
        <v>0</v>
      </c>
      <c r="M29" s="38">
        <v>0</v>
      </c>
      <c r="N29" s="39">
        <v>0.7142857142857143</v>
      </c>
      <c r="O29" s="39">
        <v>0.7142857142857143</v>
      </c>
    </row>
    <row r="30" spans="1:15" ht="15">
      <c r="A30" s="32">
        <v>306</v>
      </c>
      <c r="B30" s="33">
        <v>0</v>
      </c>
      <c r="C30" s="33">
        <v>0</v>
      </c>
      <c r="D30" s="34">
        <v>0</v>
      </c>
      <c r="E30" s="34">
        <v>0</v>
      </c>
      <c r="F30" s="34">
        <v>0</v>
      </c>
      <c r="G30" s="35">
        <v>0.14285714285714285</v>
      </c>
      <c r="H30" s="35">
        <v>0</v>
      </c>
      <c r="I30" s="35">
        <v>1.1428571428571428</v>
      </c>
      <c r="J30" s="36">
        <v>0</v>
      </c>
      <c r="K30" s="36">
        <v>0</v>
      </c>
      <c r="L30" s="37">
        <v>0</v>
      </c>
      <c r="M30" s="38">
        <v>0.14285714285714285</v>
      </c>
      <c r="N30" s="39">
        <v>-0.14285714285714285</v>
      </c>
      <c r="O30" s="39">
        <v>1.1428571428571428</v>
      </c>
    </row>
    <row r="31" spans="1:15" ht="15">
      <c r="A31" s="32">
        <v>222</v>
      </c>
      <c r="B31" s="33">
        <v>0</v>
      </c>
      <c r="C31" s="33">
        <v>0</v>
      </c>
      <c r="D31" s="34">
        <v>0.2857142857142857</v>
      </c>
      <c r="E31" s="34">
        <v>0.5714285714285714</v>
      </c>
      <c r="F31" s="34">
        <v>0.14285714285714285</v>
      </c>
      <c r="G31" s="35">
        <v>2.142857142857143</v>
      </c>
      <c r="H31" s="35">
        <v>1.2857142857142858</v>
      </c>
      <c r="I31" s="35">
        <v>0.2857142857142857</v>
      </c>
      <c r="J31" s="36">
        <v>0</v>
      </c>
      <c r="K31" s="36">
        <v>0.14285714285714285</v>
      </c>
      <c r="L31" s="37">
        <v>0.5714285714285714</v>
      </c>
      <c r="M31" s="38">
        <v>0.14285714285714285</v>
      </c>
      <c r="N31" s="39">
        <v>1.8571428571428572</v>
      </c>
      <c r="O31" s="39">
        <v>0.8571428571428571</v>
      </c>
    </row>
    <row r="32" spans="1:15" ht="15">
      <c r="A32" s="32">
        <v>128</v>
      </c>
      <c r="B32" s="33">
        <v>0</v>
      </c>
      <c r="C32" s="33">
        <v>0</v>
      </c>
      <c r="D32" s="34">
        <v>0.14285714285714285</v>
      </c>
      <c r="E32" s="34">
        <v>0</v>
      </c>
      <c r="F32" s="34">
        <v>0</v>
      </c>
      <c r="G32" s="35">
        <v>0.42857142857142855</v>
      </c>
      <c r="H32" s="35">
        <v>0.14285714285714285</v>
      </c>
      <c r="I32" s="35">
        <v>0</v>
      </c>
      <c r="J32" s="36">
        <v>0</v>
      </c>
      <c r="K32" s="36">
        <v>0</v>
      </c>
      <c r="L32" s="37">
        <v>0</v>
      </c>
      <c r="M32" s="38">
        <v>0.14285714285714285</v>
      </c>
      <c r="N32" s="39">
        <v>0</v>
      </c>
      <c r="O32" s="39">
        <v>0</v>
      </c>
    </row>
    <row r="33" spans="1:15" ht="15">
      <c r="A33" s="32">
        <v>117</v>
      </c>
      <c r="B33" s="33">
        <v>0.3333333333333333</v>
      </c>
      <c r="C33" s="33">
        <v>0</v>
      </c>
      <c r="D33" s="34">
        <v>0</v>
      </c>
      <c r="E33" s="34">
        <v>0</v>
      </c>
      <c r="F33" s="34">
        <v>0</v>
      </c>
      <c r="G33" s="35">
        <v>0.6666666666666666</v>
      </c>
      <c r="H33" s="35">
        <v>0.16666666666666666</v>
      </c>
      <c r="I33" s="35">
        <v>0.3333333333333333</v>
      </c>
      <c r="J33" s="36">
        <v>0</v>
      </c>
      <c r="K33" s="36">
        <v>0</v>
      </c>
      <c r="L33" s="37">
        <v>0</v>
      </c>
      <c r="M33" s="38">
        <v>0</v>
      </c>
      <c r="N33" s="39">
        <v>0.16666666666666666</v>
      </c>
      <c r="O33" s="39">
        <v>0.3333333333333333</v>
      </c>
    </row>
    <row r="34" spans="1:15" ht="15">
      <c r="A34" s="32">
        <v>63</v>
      </c>
      <c r="B34" s="33">
        <v>0</v>
      </c>
      <c r="C34" s="33">
        <v>0</v>
      </c>
      <c r="D34" s="34">
        <v>0.5714285714285714</v>
      </c>
      <c r="E34" s="34">
        <v>0.2857142857142857</v>
      </c>
      <c r="F34" s="34">
        <v>0.14285714285714285</v>
      </c>
      <c r="G34" s="35">
        <v>2</v>
      </c>
      <c r="H34" s="35">
        <v>3.142857142857143</v>
      </c>
      <c r="I34" s="35">
        <v>0.7142857142857143</v>
      </c>
      <c r="J34" s="36">
        <v>0</v>
      </c>
      <c r="K34" s="36">
        <v>0</v>
      </c>
      <c r="L34" s="37">
        <v>0</v>
      </c>
      <c r="M34" s="38">
        <v>0</v>
      </c>
      <c r="N34" s="39">
        <v>3.2857142857142856</v>
      </c>
      <c r="O34" s="39">
        <v>1</v>
      </c>
    </row>
    <row r="35" spans="1:15" ht="15">
      <c r="A35" s="32"/>
      <c r="B35" s="33"/>
      <c r="C35" s="33"/>
      <c r="D35" s="34"/>
      <c r="E35" s="34"/>
      <c r="F35" s="34"/>
      <c r="G35" s="35"/>
      <c r="H35" s="35"/>
      <c r="I35" s="35"/>
      <c r="J35" s="36"/>
      <c r="K35" s="36"/>
      <c r="L35" s="37"/>
      <c r="M35" s="38"/>
      <c r="N35" s="39"/>
      <c r="O35" s="39"/>
    </row>
    <row r="36" spans="1:15" ht="15">
      <c r="A36" s="32"/>
      <c r="B36" s="33"/>
      <c r="C36" s="33"/>
      <c r="D36" s="34"/>
      <c r="E36" s="34"/>
      <c r="F36" s="34"/>
      <c r="G36" s="35"/>
      <c r="H36" s="35"/>
      <c r="I36" s="35"/>
      <c r="J36" s="36"/>
      <c r="K36" s="36"/>
      <c r="L36" s="37"/>
      <c r="M36" s="38"/>
      <c r="N36" s="39"/>
      <c r="O36" s="39"/>
    </row>
    <row r="37" spans="1:15" ht="15">
      <c r="A37" s="32"/>
      <c r="B37" s="33"/>
      <c r="C37" s="33"/>
      <c r="D37" s="34"/>
      <c r="E37" s="34"/>
      <c r="F37" s="34"/>
      <c r="G37" s="35"/>
      <c r="H37" s="35"/>
      <c r="I37" s="35"/>
      <c r="J37" s="36"/>
      <c r="K37" s="36"/>
      <c r="L37" s="37"/>
      <c r="M37" s="38"/>
      <c r="N37" s="39"/>
      <c r="O37" s="39"/>
    </row>
    <row r="38" spans="1:15" ht="15">
      <c r="A38" s="32"/>
      <c r="B38" s="33"/>
      <c r="C38" s="33"/>
      <c r="D38" s="34"/>
      <c r="E38" s="34"/>
      <c r="F38" s="34"/>
      <c r="G38" s="35"/>
      <c r="H38" s="35"/>
      <c r="I38" s="35"/>
      <c r="J38" s="36"/>
      <c r="K38" s="36"/>
      <c r="L38" s="37"/>
      <c r="M38" s="38"/>
      <c r="N38" s="39"/>
      <c r="O38" s="39"/>
    </row>
    <row r="39" spans="1:15" ht="15">
      <c r="A39" s="32"/>
      <c r="B39" s="33"/>
      <c r="C39" s="33"/>
      <c r="D39" s="34"/>
      <c r="E39" s="34"/>
      <c r="F39" s="34"/>
      <c r="G39" s="35"/>
      <c r="H39" s="35"/>
      <c r="I39" s="35"/>
      <c r="J39" s="36"/>
      <c r="K39" s="36"/>
      <c r="L39" s="37"/>
      <c r="M39" s="38"/>
      <c r="N39" s="39"/>
      <c r="O39" s="39"/>
    </row>
    <row r="40" spans="1:15" ht="15">
      <c r="A40" s="32"/>
      <c r="B40" s="33"/>
      <c r="C40" s="33"/>
      <c r="D40" s="34"/>
      <c r="E40" s="34"/>
      <c r="F40" s="34"/>
      <c r="G40" s="35"/>
      <c r="H40" s="35"/>
      <c r="I40" s="35"/>
      <c r="J40" s="36"/>
      <c r="K40" s="36"/>
      <c r="L40" s="37"/>
      <c r="M40" s="38"/>
      <c r="N40" s="39"/>
      <c r="O40" s="39"/>
    </row>
    <row r="41" spans="1:15" ht="15">
      <c r="A41" s="32"/>
      <c r="B41" s="33"/>
      <c r="C41" s="33"/>
      <c r="D41" s="34"/>
      <c r="E41" s="34"/>
      <c r="F41" s="34"/>
      <c r="G41" s="35"/>
      <c r="H41" s="35"/>
      <c r="I41" s="35"/>
      <c r="J41" s="36"/>
      <c r="K41" s="36"/>
      <c r="L41" s="37"/>
      <c r="M41" s="38"/>
      <c r="N41" s="39"/>
      <c r="O41" s="39"/>
    </row>
    <row r="42" spans="1:15" ht="15">
      <c r="A42" s="32"/>
      <c r="B42" s="33"/>
      <c r="C42" s="33"/>
      <c r="D42" s="34"/>
      <c r="E42" s="34"/>
      <c r="F42" s="34"/>
      <c r="G42" s="35"/>
      <c r="H42" s="35"/>
      <c r="I42" s="35"/>
      <c r="J42" s="36"/>
      <c r="K42" s="36"/>
      <c r="L42" s="37"/>
      <c r="M42" s="38"/>
      <c r="N42" s="39"/>
      <c r="O42" s="39"/>
    </row>
    <row r="43" spans="1:15" ht="15">
      <c r="A43" s="32"/>
      <c r="B43" s="33"/>
      <c r="C43" s="33"/>
      <c r="D43" s="34"/>
      <c r="E43" s="34"/>
      <c r="F43" s="34"/>
      <c r="G43" s="35"/>
      <c r="H43" s="35"/>
      <c r="I43" s="35"/>
      <c r="J43" s="36"/>
      <c r="K43" s="36"/>
      <c r="L43" s="37"/>
      <c r="M43" s="38"/>
      <c r="N43" s="39"/>
      <c r="O43" s="39"/>
    </row>
    <row r="44" spans="1:15" ht="15">
      <c r="A44" s="32"/>
      <c r="B44" s="33"/>
      <c r="C44" s="33"/>
      <c r="D44" s="34"/>
      <c r="E44" s="34"/>
      <c r="F44" s="34"/>
      <c r="G44" s="35"/>
      <c r="H44" s="35"/>
      <c r="I44" s="35"/>
      <c r="J44" s="36"/>
      <c r="K44" s="36"/>
      <c r="L44" s="37"/>
      <c r="M44" s="38"/>
      <c r="N44" s="39"/>
      <c r="O44" s="39"/>
    </row>
    <row r="45" spans="1:15" ht="15">
      <c r="A45" s="32"/>
      <c r="B45" s="33"/>
      <c r="C45" s="33"/>
      <c r="D45" s="34"/>
      <c r="E45" s="34"/>
      <c r="F45" s="34"/>
      <c r="G45" s="35"/>
      <c r="H45" s="35"/>
      <c r="I45" s="35"/>
      <c r="J45" s="36"/>
      <c r="K45" s="36"/>
      <c r="L45" s="37"/>
      <c r="M45" s="38"/>
      <c r="N45" s="39"/>
      <c r="O45" s="39"/>
    </row>
    <row r="46" spans="1:15" ht="15">
      <c r="A46" s="32"/>
      <c r="B46" s="33"/>
      <c r="C46" s="33"/>
      <c r="D46" s="34"/>
      <c r="E46" s="34"/>
      <c r="F46" s="34"/>
      <c r="G46" s="35"/>
      <c r="H46" s="35"/>
      <c r="I46" s="35"/>
      <c r="J46" s="36"/>
      <c r="K46" s="36"/>
      <c r="L46" s="37"/>
      <c r="M46" s="38"/>
      <c r="N46" s="39"/>
      <c r="O46" s="39"/>
    </row>
    <row r="47" spans="1:15" ht="15">
      <c r="A47" s="32"/>
      <c r="B47" s="33"/>
      <c r="C47" s="33"/>
      <c r="D47" s="34"/>
      <c r="E47" s="34"/>
      <c r="F47" s="34"/>
      <c r="G47" s="35"/>
      <c r="H47" s="35"/>
      <c r="I47" s="35"/>
      <c r="J47" s="36"/>
      <c r="K47" s="36"/>
      <c r="L47" s="37"/>
      <c r="M47" s="38"/>
      <c r="N47" s="39"/>
      <c r="O47" s="39"/>
    </row>
    <row r="48" spans="1:15" ht="15">
      <c r="A48" s="32"/>
      <c r="B48" s="33"/>
      <c r="C48" s="33"/>
      <c r="D48" s="34"/>
      <c r="E48" s="34"/>
      <c r="F48" s="34"/>
      <c r="G48" s="35"/>
      <c r="H48" s="35"/>
      <c r="I48" s="35"/>
      <c r="J48" s="36"/>
      <c r="K48" s="36"/>
      <c r="L48" s="37"/>
      <c r="M48" s="38"/>
      <c r="N48" s="39"/>
      <c r="O48" s="39"/>
    </row>
    <row r="49" spans="1:15" ht="15">
      <c r="A49" s="32"/>
      <c r="B49" s="33"/>
      <c r="C49" s="33"/>
      <c r="D49" s="34"/>
      <c r="E49" s="34"/>
      <c r="F49" s="34"/>
      <c r="G49" s="35"/>
      <c r="H49" s="35"/>
      <c r="I49" s="35"/>
      <c r="J49" s="36"/>
      <c r="K49" s="36"/>
      <c r="L49" s="37"/>
      <c r="M49" s="38"/>
      <c r="N49" s="39"/>
      <c r="O49" s="39"/>
    </row>
    <row r="50" spans="1:15" ht="15">
      <c r="A50" s="32"/>
      <c r="B50" s="33"/>
      <c r="C50" s="33"/>
      <c r="D50" s="34"/>
      <c r="E50" s="34"/>
      <c r="F50" s="34"/>
      <c r="G50" s="35"/>
      <c r="H50" s="35"/>
      <c r="I50" s="35"/>
      <c r="J50" s="36"/>
      <c r="K50" s="36"/>
      <c r="L50" s="37"/>
      <c r="M50" s="38"/>
      <c r="N50" s="39"/>
      <c r="O50" s="39"/>
    </row>
    <row r="51" spans="1:15" ht="15">
      <c r="A51" s="32"/>
      <c r="B51" s="33"/>
      <c r="C51" s="33"/>
      <c r="D51" s="34"/>
      <c r="E51" s="34"/>
      <c r="F51" s="34"/>
      <c r="G51" s="35"/>
      <c r="H51" s="35"/>
      <c r="I51" s="35"/>
      <c r="J51" s="36"/>
      <c r="K51" s="36"/>
      <c r="L51" s="37"/>
      <c r="M51" s="38"/>
      <c r="N51" s="39"/>
      <c r="O51" s="39"/>
    </row>
    <row r="52" spans="1:15" ht="15">
      <c r="A52" s="32"/>
      <c r="B52" s="33"/>
      <c r="C52" s="33"/>
      <c r="D52" s="34"/>
      <c r="E52" s="34"/>
      <c r="F52" s="34"/>
      <c r="G52" s="35"/>
      <c r="H52" s="35"/>
      <c r="I52" s="35"/>
      <c r="J52" s="36"/>
      <c r="K52" s="36"/>
      <c r="L52" s="37"/>
      <c r="M52" s="38"/>
      <c r="N52" s="39"/>
      <c r="O52" s="39"/>
    </row>
    <row r="53" spans="1:15" ht="15">
      <c r="A53" s="32"/>
      <c r="B53" s="33"/>
      <c r="C53" s="33"/>
      <c r="D53" s="34"/>
      <c r="E53" s="34"/>
      <c r="F53" s="34"/>
      <c r="G53" s="35"/>
      <c r="H53" s="35"/>
      <c r="I53" s="35"/>
      <c r="J53" s="36"/>
      <c r="K53" s="36"/>
      <c r="L53" s="37"/>
      <c r="M53" s="38"/>
      <c r="N53" s="39"/>
      <c r="O53" s="39"/>
    </row>
    <row r="54" spans="1:15" ht="15">
      <c r="A54" s="32"/>
      <c r="B54" s="33"/>
      <c r="C54" s="33"/>
      <c r="D54" s="34"/>
      <c r="E54" s="34"/>
      <c r="F54" s="34"/>
      <c r="G54" s="35"/>
      <c r="H54" s="35"/>
      <c r="I54" s="35"/>
      <c r="J54" s="36"/>
      <c r="K54" s="36"/>
      <c r="L54" s="37"/>
      <c r="M54" s="38"/>
      <c r="N54" s="39"/>
      <c r="O54" s="39"/>
    </row>
    <row r="55" spans="1:15" ht="15">
      <c r="A55" s="32"/>
      <c r="B55" s="33"/>
      <c r="C55" s="33"/>
      <c r="D55" s="34"/>
      <c r="E55" s="34"/>
      <c r="F55" s="34"/>
      <c r="G55" s="35"/>
      <c r="H55" s="35"/>
      <c r="I55" s="35"/>
      <c r="J55" s="36"/>
      <c r="K55" s="36"/>
      <c r="L55" s="37"/>
      <c r="M55" s="38"/>
      <c r="N55" s="39"/>
      <c r="O55" s="39"/>
    </row>
    <row r="56" spans="1:15" ht="15">
      <c r="A56" s="32"/>
      <c r="B56" s="33"/>
      <c r="C56" s="33"/>
      <c r="D56" s="34"/>
      <c r="E56" s="34"/>
      <c r="F56" s="34"/>
      <c r="G56" s="35"/>
      <c r="H56" s="35"/>
      <c r="I56" s="35"/>
      <c r="J56" s="36"/>
      <c r="K56" s="36"/>
      <c r="L56" s="37"/>
      <c r="M56" s="38"/>
      <c r="N56" s="39"/>
      <c r="O56" s="39"/>
    </row>
    <row r="57" spans="1:15" ht="15">
      <c r="A57" s="32"/>
      <c r="B57" s="33"/>
      <c r="C57" s="33"/>
      <c r="D57" s="34"/>
      <c r="E57" s="34"/>
      <c r="F57" s="34"/>
      <c r="G57" s="35"/>
      <c r="H57" s="35"/>
      <c r="I57" s="35"/>
      <c r="J57" s="36"/>
      <c r="K57" s="36"/>
      <c r="L57" s="37"/>
      <c r="M57" s="38"/>
      <c r="N57" s="39"/>
      <c r="O57" s="39"/>
    </row>
    <row r="58" spans="1:15" ht="15">
      <c r="A58" s="32"/>
      <c r="B58" s="33"/>
      <c r="C58" s="33"/>
      <c r="D58" s="34"/>
      <c r="E58" s="34"/>
      <c r="F58" s="34"/>
      <c r="G58" s="35"/>
      <c r="H58" s="35"/>
      <c r="I58" s="35"/>
      <c r="J58" s="36"/>
      <c r="K58" s="36"/>
      <c r="L58" s="37"/>
      <c r="M58" s="38"/>
      <c r="N58" s="39"/>
      <c r="O58" s="39"/>
    </row>
    <row r="59" spans="1:15" ht="15">
      <c r="A59" s="32"/>
      <c r="B59" s="33"/>
      <c r="C59" s="33"/>
      <c r="D59" s="34"/>
      <c r="E59" s="34"/>
      <c r="F59" s="34"/>
      <c r="G59" s="35"/>
      <c r="H59" s="35"/>
      <c r="I59" s="35"/>
      <c r="J59" s="36"/>
      <c r="K59" s="36"/>
      <c r="L59" s="37"/>
      <c r="M59" s="38"/>
      <c r="N59" s="39"/>
      <c r="O59" s="39"/>
    </row>
    <row r="60" spans="1:15" ht="15">
      <c r="A60" s="32"/>
      <c r="B60" s="33"/>
      <c r="C60" s="33"/>
      <c r="D60" s="34"/>
      <c r="E60" s="34"/>
      <c r="F60" s="34"/>
      <c r="G60" s="35"/>
      <c r="H60" s="35"/>
      <c r="I60" s="35"/>
      <c r="J60" s="36"/>
      <c r="K60" s="36"/>
      <c r="L60" s="37"/>
      <c r="M60" s="38"/>
      <c r="N60" s="39"/>
      <c r="O60" s="39"/>
    </row>
    <row r="61" spans="1:15" ht="15">
      <c r="A61" s="32"/>
      <c r="B61" s="33"/>
      <c r="C61" s="33"/>
      <c r="D61" s="34"/>
      <c r="E61" s="34"/>
      <c r="F61" s="34"/>
      <c r="G61" s="35"/>
      <c r="H61" s="35"/>
      <c r="I61" s="35"/>
      <c r="J61" s="36"/>
      <c r="K61" s="36"/>
      <c r="L61" s="37"/>
      <c r="M61" s="38"/>
      <c r="N61" s="39"/>
      <c r="O61" s="39"/>
    </row>
    <row r="62" spans="1:15" ht="15">
      <c r="A62" s="32"/>
      <c r="B62" s="33"/>
      <c r="C62" s="33"/>
      <c r="D62" s="34"/>
      <c r="E62" s="34"/>
      <c r="F62" s="34"/>
      <c r="G62" s="35"/>
      <c r="H62" s="35"/>
      <c r="I62" s="35"/>
      <c r="J62" s="36"/>
      <c r="K62" s="36"/>
      <c r="L62" s="37"/>
      <c r="M62" s="38"/>
      <c r="N62" s="39"/>
      <c r="O62" s="39"/>
    </row>
    <row r="63" spans="1:15" ht="15">
      <c r="A63" s="32"/>
      <c r="B63" s="33"/>
      <c r="C63" s="33"/>
      <c r="D63" s="34"/>
      <c r="E63" s="34"/>
      <c r="F63" s="34"/>
      <c r="G63" s="35"/>
      <c r="H63" s="35"/>
      <c r="I63" s="35"/>
      <c r="J63" s="36"/>
      <c r="K63" s="36"/>
      <c r="L63" s="37"/>
      <c r="M63" s="38"/>
      <c r="N63" s="39"/>
      <c r="O63" s="39"/>
    </row>
    <row r="64" spans="1:15" ht="15">
      <c r="A64" s="32"/>
      <c r="B64" s="33"/>
      <c r="C64" s="33"/>
      <c r="D64" s="34"/>
      <c r="E64" s="34"/>
      <c r="F64" s="34"/>
      <c r="G64" s="35"/>
      <c r="H64" s="35"/>
      <c r="I64" s="35"/>
      <c r="J64" s="36"/>
      <c r="K64" s="36"/>
      <c r="L64" s="37"/>
      <c r="M64" s="38"/>
      <c r="N64" s="39"/>
      <c r="O64" s="39"/>
    </row>
    <row r="65" spans="1:15" ht="15">
      <c r="A65" s="32"/>
      <c r="B65" s="33"/>
      <c r="C65" s="33"/>
      <c r="D65" s="34"/>
      <c r="E65" s="34"/>
      <c r="F65" s="34"/>
      <c r="G65" s="35"/>
      <c r="H65" s="35"/>
      <c r="I65" s="35"/>
      <c r="J65" s="36"/>
      <c r="K65" s="36"/>
      <c r="L65" s="37"/>
      <c r="M65" s="38"/>
      <c r="N65" s="39"/>
      <c r="O65" s="39"/>
    </row>
    <row r="66" spans="1:15" ht="15">
      <c r="A66" s="32"/>
      <c r="B66" s="33"/>
      <c r="C66" s="33"/>
      <c r="D66" s="34"/>
      <c r="E66" s="34"/>
      <c r="F66" s="34"/>
      <c r="G66" s="35"/>
      <c r="H66" s="35"/>
      <c r="I66" s="35"/>
      <c r="J66" s="36"/>
      <c r="K66" s="36"/>
      <c r="L66" s="37"/>
      <c r="M66" s="38"/>
      <c r="N66" s="39"/>
      <c r="O66" s="39"/>
    </row>
    <row r="67" spans="1:15" ht="15">
      <c r="A67" s="32"/>
      <c r="B67" s="33"/>
      <c r="C67" s="33"/>
      <c r="D67" s="34"/>
      <c r="E67" s="34"/>
      <c r="F67" s="34"/>
      <c r="G67" s="35"/>
      <c r="H67" s="35"/>
      <c r="I67" s="35"/>
      <c r="J67" s="36"/>
      <c r="K67" s="36"/>
      <c r="L67" s="37"/>
      <c r="M67" s="38"/>
      <c r="N67" s="39"/>
      <c r="O67" s="39"/>
    </row>
    <row r="68" spans="1:15" ht="15">
      <c r="A68" s="32"/>
      <c r="B68" s="33"/>
      <c r="C68" s="33"/>
      <c r="D68" s="34"/>
      <c r="E68" s="34"/>
      <c r="F68" s="34"/>
      <c r="G68" s="35"/>
      <c r="H68" s="35"/>
      <c r="I68" s="35"/>
      <c r="J68" s="36"/>
      <c r="K68" s="36"/>
      <c r="L68" s="37"/>
      <c r="M68" s="38"/>
      <c r="N68" s="39"/>
      <c r="O68" s="39"/>
    </row>
    <row r="69" spans="1:15" ht="15">
      <c r="A69" s="32"/>
      <c r="B69" s="33"/>
      <c r="C69" s="33"/>
      <c r="D69" s="34"/>
      <c r="E69" s="34"/>
      <c r="F69" s="34"/>
      <c r="G69" s="35"/>
      <c r="H69" s="35"/>
      <c r="I69" s="35"/>
      <c r="J69" s="36"/>
      <c r="K69" s="36"/>
      <c r="L69" s="37"/>
      <c r="M69" s="38"/>
      <c r="N69" s="39"/>
      <c r="O69" s="39"/>
    </row>
    <row r="70" spans="1:15" ht="15">
      <c r="A70" s="32"/>
      <c r="B70" s="33"/>
      <c r="C70" s="33"/>
      <c r="D70" s="34"/>
      <c r="E70" s="34"/>
      <c r="F70" s="34"/>
      <c r="G70" s="35"/>
      <c r="H70" s="35"/>
      <c r="I70" s="35"/>
      <c r="J70" s="36"/>
      <c r="K70" s="36"/>
      <c r="L70" s="37"/>
      <c r="M70" s="38"/>
      <c r="N70" s="39"/>
      <c r="O70" s="39"/>
    </row>
    <row r="71" spans="1:15" ht="15">
      <c r="A71" s="32"/>
      <c r="B71" s="33"/>
      <c r="C71" s="33"/>
      <c r="D71" s="34"/>
      <c r="E71" s="34"/>
      <c r="F71" s="34"/>
      <c r="G71" s="35"/>
      <c r="H71" s="35"/>
      <c r="I71" s="35"/>
      <c r="J71" s="36"/>
      <c r="K71" s="36"/>
      <c r="L71" s="37"/>
      <c r="M71" s="38"/>
      <c r="N71" s="39"/>
      <c r="O71" s="39"/>
    </row>
    <row r="72" spans="1:15" ht="15">
      <c r="A72" s="32"/>
      <c r="B72" s="33"/>
      <c r="C72" s="33"/>
      <c r="D72" s="34"/>
      <c r="E72" s="34"/>
      <c r="F72" s="34"/>
      <c r="G72" s="35"/>
      <c r="H72" s="35"/>
      <c r="I72" s="35"/>
      <c r="J72" s="36"/>
      <c r="K72" s="36"/>
      <c r="L72" s="37"/>
      <c r="M72" s="38"/>
      <c r="N72" s="39"/>
      <c r="O72" s="39"/>
    </row>
    <row r="73" spans="1:15" ht="15">
      <c r="A73" s="32"/>
      <c r="B73" s="33"/>
      <c r="C73" s="33"/>
      <c r="D73" s="34"/>
      <c r="E73" s="34"/>
      <c r="F73" s="34"/>
      <c r="G73" s="35"/>
      <c r="H73" s="35"/>
      <c r="I73" s="35"/>
      <c r="J73" s="36"/>
      <c r="K73" s="36"/>
      <c r="L73" s="37"/>
      <c r="M73" s="38"/>
      <c r="N73" s="39"/>
      <c r="O73" s="39"/>
    </row>
    <row r="74" spans="1:15" ht="15">
      <c r="A74" s="32"/>
      <c r="B74" s="33"/>
      <c r="C74" s="33"/>
      <c r="D74" s="34"/>
      <c r="E74" s="34"/>
      <c r="F74" s="34"/>
      <c r="G74" s="35"/>
      <c r="H74" s="35"/>
      <c r="I74" s="35"/>
      <c r="J74" s="36"/>
      <c r="K74" s="36"/>
      <c r="L74" s="37"/>
      <c r="M74" s="38"/>
      <c r="N74" s="39"/>
      <c r="O74" s="39"/>
    </row>
    <row r="75" spans="1:15" ht="15">
      <c r="A75" s="32"/>
      <c r="B75" s="33"/>
      <c r="C75" s="33"/>
      <c r="D75" s="34"/>
      <c r="E75" s="34"/>
      <c r="F75" s="34"/>
      <c r="G75" s="35"/>
      <c r="H75" s="35"/>
      <c r="I75" s="35"/>
      <c r="J75" s="36"/>
      <c r="K75" s="36"/>
      <c r="L75" s="37"/>
      <c r="M75" s="38"/>
      <c r="N75" s="39"/>
      <c r="O75" s="39"/>
    </row>
    <row r="76" spans="1:15" ht="15">
      <c r="A76" s="32"/>
      <c r="B76" s="33"/>
      <c r="C76" s="33"/>
      <c r="D76" s="34"/>
      <c r="E76" s="34"/>
      <c r="F76" s="34"/>
      <c r="G76" s="35"/>
      <c r="H76" s="35"/>
      <c r="I76" s="35"/>
      <c r="J76" s="36"/>
      <c r="K76" s="36"/>
      <c r="L76" s="37"/>
      <c r="M76" s="38"/>
      <c r="N76" s="39"/>
      <c r="O76" s="39"/>
    </row>
    <row r="77" spans="1:15" ht="15">
      <c r="A77" s="32"/>
      <c r="B77" s="33"/>
      <c r="C77" s="33"/>
      <c r="D77" s="34"/>
      <c r="E77" s="34"/>
      <c r="F77" s="34"/>
      <c r="G77" s="35"/>
      <c r="H77" s="35"/>
      <c r="I77" s="35"/>
      <c r="J77" s="36"/>
      <c r="K77" s="36"/>
      <c r="L77" s="37"/>
      <c r="M77" s="38"/>
      <c r="N77" s="39"/>
      <c r="O77" s="39"/>
    </row>
    <row r="78" spans="22:40" ht="15"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K78">
        <v>0</v>
      </c>
      <c r="AL78">
        <v>0</v>
      </c>
      <c r="AM78">
        <v>0</v>
      </c>
      <c r="AN78">
        <v>0</v>
      </c>
    </row>
    <row r="81" spans="1:15" ht="15" hidden="1">
      <c r="A81">
        <v>3062</v>
      </c>
      <c r="B81">
        <v>0.2857142857142857</v>
      </c>
      <c r="C81">
        <v>0</v>
      </c>
      <c r="D81">
        <v>0</v>
      </c>
      <c r="E81">
        <v>0</v>
      </c>
      <c r="F81">
        <v>0</v>
      </c>
      <c r="G81">
        <v>0.7142857142857143</v>
      </c>
      <c r="H81">
        <v>0.8571428571428571</v>
      </c>
      <c r="I81">
        <v>0.2857142857142857</v>
      </c>
      <c r="J81">
        <v>0</v>
      </c>
      <c r="K81">
        <v>0</v>
      </c>
      <c r="L81">
        <v>0</v>
      </c>
      <c r="M81">
        <v>0.42857142857142855</v>
      </c>
      <c r="N81">
        <v>0.42857142857142855</v>
      </c>
      <c r="O81">
        <v>0.2857142857142857</v>
      </c>
    </row>
    <row r="87" spans="1:15" ht="15" hidden="1">
      <c r="A87">
        <v>2603</v>
      </c>
      <c r="B87">
        <v>0</v>
      </c>
      <c r="C87">
        <v>0</v>
      </c>
      <c r="D87">
        <v>0</v>
      </c>
      <c r="E87">
        <v>0</v>
      </c>
      <c r="F87">
        <v>0</v>
      </c>
      <c r="G87">
        <v>0.8571428571428571</v>
      </c>
      <c r="H87">
        <v>0</v>
      </c>
      <c r="I87">
        <v>0.42857142857142855</v>
      </c>
      <c r="J87">
        <v>0</v>
      </c>
      <c r="K87">
        <v>0</v>
      </c>
      <c r="L87">
        <v>0</v>
      </c>
      <c r="M87">
        <v>0.8571428571428571</v>
      </c>
      <c r="N87">
        <v>-0.8571428571428571</v>
      </c>
      <c r="O87">
        <v>0.42857142857142855</v>
      </c>
    </row>
    <row r="100" spans="1:15" ht="15" hidden="1">
      <c r="A100">
        <v>1038</v>
      </c>
      <c r="B100">
        <v>0</v>
      </c>
      <c r="C100">
        <v>0</v>
      </c>
      <c r="D100">
        <v>0.14285714285714285</v>
      </c>
      <c r="E100">
        <v>0</v>
      </c>
      <c r="F100">
        <v>0</v>
      </c>
      <c r="G100">
        <v>1.8571428571428572</v>
      </c>
      <c r="H100">
        <v>1.2857142857142858</v>
      </c>
      <c r="I100">
        <v>0.8571428571428571</v>
      </c>
      <c r="J100">
        <v>0</v>
      </c>
      <c r="K100">
        <v>0</v>
      </c>
      <c r="L100">
        <v>0</v>
      </c>
      <c r="M100">
        <v>0.14285714285714285</v>
      </c>
      <c r="N100">
        <v>1.1428571428571428</v>
      </c>
      <c r="O100">
        <v>0.8571428571428571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J7" sqref="J7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MTY</dc:creator>
  <cp:keywords/>
  <dc:description/>
  <cp:lastModifiedBy>Administrator</cp:lastModifiedBy>
  <dcterms:created xsi:type="dcterms:W3CDTF">2010-03-11T11:40:32Z</dcterms:created>
  <dcterms:modified xsi:type="dcterms:W3CDTF">2011-02-14T00:23:41Z</dcterms:modified>
  <cp:category/>
  <cp:version/>
  <cp:contentType/>
  <cp:contentStatus/>
</cp:coreProperties>
</file>